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-2" sheetId="9" r:id="rId9"/>
    <sheet name="січень" sheetId="10" r:id="rId10"/>
  </sheets>
  <externalReferences>
    <externalReference r:id="rId13"/>
  </externalReferences>
  <definedNames>
    <definedName name="_xlnm.Print_Area" localSheetId="9">'січень'!$A$1:$R$87</definedName>
    <definedName name="_xlnm.Print_Area" localSheetId="3">'червень'!$B$2:$J$85</definedName>
  </definedNames>
  <calcPr fullCalcOnLoad="1"/>
</workbook>
</file>

<file path=xl/sharedStrings.xml><?xml version="1.0" encoding="utf-8"?>
<sst xmlns="http://schemas.openxmlformats.org/spreadsheetml/2006/main" count="1292" uniqueCount="206">
  <si>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</si>
  <si>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</si>
  <si>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</si>
  <si>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</si>
  <si>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</si>
  <si>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</si>
  <si>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</si>
  <si>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</si>
  <si>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</si>
  <si>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</si>
  <si>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</si>
  <si>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</si>
  <si>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</si>
  <si>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</si>
  <si>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</si>
  <si>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</si>
  <si>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</si>
  <si>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</si>
  <si>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</si>
  <si>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</si>
  <si>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</si>
  <si>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</si>
  <si>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</si>
  <si>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</si>
  <si>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</si>
  <si>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</si>
  <si>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</si>
  <si>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</si>
  <si>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</si>
  <si>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</si>
  <si>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</si>
  <si>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</si>
  <si>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</si>
  <si>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</si>
  <si>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</si>
  <si>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</si>
  <si>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</si>
  <si>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</si>
  <si>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</si>
  <si>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</si>
  <si>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</si>
  <si>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</si>
  <si>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</si>
  <si>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</si>
  <si>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</si>
  <si>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</si>
  <si>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</si>
  <si>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</si>
  <si>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</si>
  <si>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</si>
  <si>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</si>
  <si>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</si>
  <si>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</si>
  <si>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</si>
  <si>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</si>
  <si>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</si>
  <si>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</si>
  <si>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</si>
  <si>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</si>
  <si>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</si>
  <si>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</si>
  <si>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</si>
  <si>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</si>
  <si>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</si>
  <si>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</si>
  <si>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</si>
  <si>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</si>
  <si>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</si>
  <si>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</si>
  <si>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</si>
  <si>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</si>
  <si>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</si>
  <si>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</si>
  <si>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</si>
  <si>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</si>
  <si>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</si>
  <si>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</si>
  <si>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</si>
  <si>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</si>
  <si>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</si>
  <si>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</si>
  <si>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</si>
  <si>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</si>
  <si>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</si>
  <si>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</si>
  <si>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</si>
  <si>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</si>
  <si>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</si>
  <si>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</si>
  <si>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</si>
  <si>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</si>
  <si>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</si>
  <si>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</si>
  <si>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</si>
  <si>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</si>
  <si>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</si>
  <si>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</si>
  <si>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</si>
  <si>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</si>
  <si>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</si>
  <si>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</si>
  <si>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</si>
  <si>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</si>
  <si>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</si>
  <si>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</si>
  <si>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</si>
  <si>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</si>
  <si>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</si>
  <si>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</si>
  <si>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</si>
  <si>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</si>
  <si>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</si>
  <si>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</si>
  <si>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</si>
  <si>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</si>
  <si>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</si>
  <si>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</si>
  <si>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</si>
  <si>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</si>
  <si>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</si>
  <si>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</si>
  <si>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</si>
  <si>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</si>
  <si>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</si>
  <si>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</si>
  <si>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</si>
  <si>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</si>
  <si>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</si>
  <si>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</si>
  <si>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</si>
  <si>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</si>
  <si>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</si>
  <si>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</si>
  <si>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</si>
  <si>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</si>
  <si>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</si>
  <si>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</si>
  <si>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</si>
  <si>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</si>
  <si>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</si>
  <si>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</si>
  <si>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</si>
  <si>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</si>
  <si>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</si>
  <si>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</si>
  <si>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</si>
  <si>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</si>
  <si>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</si>
  <si>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</si>
  <si>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</si>
  <si>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</si>
  <si>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</si>
  <si>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</si>
  <si>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</si>
  <si>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</si>
  <si>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</si>
  <si>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</si>
  <si>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</si>
  <si>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</si>
  <si>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</si>
  <si>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</si>
  <si>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</si>
  <si>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</si>
  <si>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</si>
  <si>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</si>
  <si>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</si>
  <si>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</si>
  <si>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</si>
  <si>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</si>
  <si>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</si>
  <si>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</si>
  <si>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</si>
  <si>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</si>
  <si>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</si>
  <si>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</si>
  <si>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</si>
  <si>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</si>
  <si>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</si>
  <si>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</si>
  <si>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</si>
  <si>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</si>
  <si>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</si>
  <si>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</si>
  <si>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</si>
  <si>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</si>
  <si>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</si>
  <si>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</si>
  <si>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</si>
  <si>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</si>
  <si>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</si>
  <si>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</si>
  <si>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</si>
  <si>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</si>
  <si>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</si>
  <si>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</si>
  <si>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</si>
  <si>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</si>
  <si>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</si>
  <si>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</si>
  <si>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</si>
  <si>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</si>
  <si>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</si>
  <si>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</si>
  <si>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</si>
  <si>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08.09.2016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</si>
  <si>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07.09.16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</si>
</sst>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5" fillId="13" borderId="20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увані"/>
      <sheetName val="трансгаз"/>
      <sheetName val="лисаки"/>
      <sheetName val="22012500"/>
      <sheetName val="очік на  ост квітень"/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1">
        <row r="6">
          <cell r="G6">
            <v>2126613.54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6" zoomScaleNormal="76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5" t="s">
        <v>204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92"/>
      <c r="S1" s="93"/>
    </row>
    <row r="2" spans="2:19" s="1" customFormat="1" ht="15.75" customHeight="1">
      <c r="B2" s="436"/>
      <c r="C2" s="436"/>
      <c r="D2" s="436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7"/>
      <c r="B3" s="439"/>
      <c r="C3" s="440" t="s">
        <v>0</v>
      </c>
      <c r="D3" s="441" t="s">
        <v>121</v>
      </c>
      <c r="E3" s="34"/>
      <c r="F3" s="442" t="s">
        <v>26</v>
      </c>
      <c r="G3" s="443"/>
      <c r="H3" s="443"/>
      <c r="I3" s="443"/>
      <c r="J3" s="444"/>
      <c r="K3" s="89"/>
      <c r="L3" s="89"/>
      <c r="M3" s="89"/>
      <c r="N3" s="445" t="s">
        <v>201</v>
      </c>
      <c r="O3" s="446" t="s">
        <v>202</v>
      </c>
      <c r="P3" s="446"/>
      <c r="Q3" s="446"/>
      <c r="R3" s="446"/>
      <c r="S3" s="446"/>
    </row>
    <row r="4" spans="1:19" ht="22.5" customHeight="1">
      <c r="A4" s="437"/>
      <c r="B4" s="439"/>
      <c r="C4" s="440"/>
      <c r="D4" s="441"/>
      <c r="E4" s="447" t="s">
        <v>198</v>
      </c>
      <c r="F4" s="429" t="s">
        <v>34</v>
      </c>
      <c r="G4" s="422" t="s">
        <v>199</v>
      </c>
      <c r="H4" s="431" t="s">
        <v>200</v>
      </c>
      <c r="I4" s="422" t="s">
        <v>122</v>
      </c>
      <c r="J4" s="431" t="s">
        <v>123</v>
      </c>
      <c r="K4" s="91" t="s">
        <v>186</v>
      </c>
      <c r="L4" s="249" t="s">
        <v>185</v>
      </c>
      <c r="M4" s="96" t="s">
        <v>64</v>
      </c>
      <c r="N4" s="431"/>
      <c r="O4" s="433" t="s">
        <v>205</v>
      </c>
      <c r="P4" s="422" t="s">
        <v>50</v>
      </c>
      <c r="Q4" s="424" t="s">
        <v>49</v>
      </c>
      <c r="R4" s="97" t="s">
        <v>65</v>
      </c>
      <c r="S4" s="98" t="s">
        <v>64</v>
      </c>
    </row>
    <row r="5" spans="1:19" ht="67.5" customHeight="1">
      <c r="A5" s="438"/>
      <c r="B5" s="439"/>
      <c r="C5" s="440"/>
      <c r="D5" s="441"/>
      <c r="E5" s="448"/>
      <c r="F5" s="430"/>
      <c r="G5" s="423"/>
      <c r="H5" s="432"/>
      <c r="I5" s="423"/>
      <c r="J5" s="432"/>
      <c r="K5" s="425" t="s">
        <v>203</v>
      </c>
      <c r="L5" s="426"/>
      <c r="M5" s="427"/>
      <c r="N5" s="432"/>
      <c r="O5" s="434"/>
      <c r="P5" s="423"/>
      <c r="Q5" s="424"/>
      <c r="R5" s="425" t="s">
        <v>120</v>
      </c>
      <c r="S5" s="427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700350.81</v>
      </c>
      <c r="F8" s="191">
        <f>F9+F15+F18+F19+F20+F37+F17</f>
        <v>647433.58</v>
      </c>
      <c r="G8" s="191">
        <f aca="true" t="shared" si="0" ref="G8:G37">F8-E8</f>
        <v>-52917.2300000001</v>
      </c>
      <c r="H8" s="192">
        <f>F8/E8*100</f>
        <v>92.44418236626298</v>
      </c>
      <c r="I8" s="193">
        <f>F8-D8</f>
        <v>-286637.8700000001</v>
      </c>
      <c r="J8" s="193">
        <f>F8/D8*100</f>
        <v>69.3130680741821</v>
      </c>
      <c r="K8" s="191">
        <v>480879.27</v>
      </c>
      <c r="L8" s="191">
        <f aca="true" t="shared" si="1" ref="L8:L51">F8-K8</f>
        <v>166554.30999999994</v>
      </c>
      <c r="M8" s="250">
        <f aca="true" t="shared" si="2" ref="M8:M28">F8/K8</f>
        <v>1.3463536908130807</v>
      </c>
      <c r="N8" s="191">
        <f>N9+N15+N18+N19+N20+N17</f>
        <v>70992.83</v>
      </c>
      <c r="O8" s="191">
        <f>O9+O15+O18+O19+O20+O17</f>
        <v>13912.74999999997</v>
      </c>
      <c r="P8" s="191">
        <f>O8-N8</f>
        <v>-57080.08000000003</v>
      </c>
      <c r="Q8" s="191">
        <f>O8/N8*100</f>
        <v>19.597401596752757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374978.67</v>
      </c>
      <c r="F9" s="196">
        <v>351756.36</v>
      </c>
      <c r="G9" s="190">
        <f t="shared" si="0"/>
        <v>-23222.309999999998</v>
      </c>
      <c r="H9" s="197">
        <f>F9/E9*100</f>
        <v>93.8070317439656</v>
      </c>
      <c r="I9" s="198">
        <f>F9-D9</f>
        <v>-178832.64</v>
      </c>
      <c r="J9" s="198">
        <f>F9/D9*100</f>
        <v>66.29544901986283</v>
      </c>
      <c r="K9" s="199">
        <v>264375.41</v>
      </c>
      <c r="L9" s="199">
        <f t="shared" si="1"/>
        <v>87380.95000000001</v>
      </c>
      <c r="M9" s="251">
        <f t="shared" si="2"/>
        <v>1.330518447233803</v>
      </c>
      <c r="N9" s="197">
        <f>E9-серпень!E9</f>
        <v>42685</v>
      </c>
      <c r="O9" s="200">
        <f>F9-серпень!F9</f>
        <v>11838</v>
      </c>
      <c r="P9" s="201">
        <f>O9-N9</f>
        <v>-30847</v>
      </c>
      <c r="Q9" s="198">
        <f>O9/N9*100</f>
        <v>27.733395806489398</v>
      </c>
      <c r="R9" s="106"/>
      <c r="S9" s="107"/>
      <c r="T9" s="186">
        <f>D9-E9</f>
        <v>155610.33000000002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334470.24</v>
      </c>
      <c r="F10" s="171">
        <v>310178.39</v>
      </c>
      <c r="G10" s="109">
        <f t="shared" si="0"/>
        <v>-24291.849999999977</v>
      </c>
      <c r="H10" s="32">
        <f aca="true" t="shared" si="3" ref="H10:H36">F10/E10*100</f>
        <v>92.73721632154778</v>
      </c>
      <c r="I10" s="110">
        <f aca="true" t="shared" si="4" ref="I10:I37">F10-D10</f>
        <v>-175030.61</v>
      </c>
      <c r="J10" s="110">
        <f aca="true" t="shared" si="5" ref="J10:J36">F10/D10*100</f>
        <v>63.926759396466274</v>
      </c>
      <c r="K10" s="112">
        <v>233936.48</v>
      </c>
      <c r="L10" s="112">
        <f t="shared" si="1"/>
        <v>76241.91</v>
      </c>
      <c r="M10" s="252">
        <f t="shared" si="2"/>
        <v>1.3259085970687428</v>
      </c>
      <c r="N10" s="111">
        <f>E10-серпень!E10</f>
        <v>39100</v>
      </c>
      <c r="O10" s="179">
        <f>F10-серпень!F10</f>
        <v>11504.98000000004</v>
      </c>
      <c r="P10" s="112">
        <f aca="true" t="shared" si="6" ref="P10:P37">O10-N10</f>
        <v>-27595.01999999996</v>
      </c>
      <c r="Q10" s="198">
        <f aca="true" t="shared" si="7" ref="Q10:Q16">O10/N10*100</f>
        <v>29.424501278772482</v>
      </c>
      <c r="R10" s="42"/>
      <c r="S10" s="100"/>
      <c r="T10" s="186">
        <f aca="true" t="shared" si="8" ref="T10:T73">D10-E10</f>
        <v>150738.76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25004.26</v>
      </c>
      <c r="G11" s="109">
        <f t="shared" si="0"/>
        <v>3489.3199999999997</v>
      </c>
      <c r="H11" s="32">
        <f t="shared" si="3"/>
        <v>116.21812563734781</v>
      </c>
      <c r="I11" s="110">
        <f t="shared" si="4"/>
        <v>2004.2599999999984</v>
      </c>
      <c r="J11" s="110">
        <f t="shared" si="5"/>
        <v>108.71417391304348</v>
      </c>
      <c r="K11" s="112">
        <v>14002.69</v>
      </c>
      <c r="L11" s="112">
        <f t="shared" si="1"/>
        <v>11001.569999999998</v>
      </c>
      <c r="M11" s="252">
        <f t="shared" si="2"/>
        <v>1.7856754666424806</v>
      </c>
      <c r="N11" s="111">
        <f>E11-серпень!E11</f>
        <v>1800</v>
      </c>
      <c r="O11" s="179">
        <f>F11-серпень!F11</f>
        <v>5.329999999998108</v>
      </c>
      <c r="P11" s="112">
        <f t="shared" si="6"/>
        <v>-1794.670000000002</v>
      </c>
      <c r="Q11" s="198">
        <f t="shared" si="7"/>
        <v>0.296111111111006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6863.28</v>
      </c>
      <c r="G12" s="109">
        <f t="shared" si="0"/>
        <v>982.6700000000001</v>
      </c>
      <c r="H12" s="32">
        <f t="shared" si="3"/>
        <v>116.71034127411953</v>
      </c>
      <c r="I12" s="110">
        <f t="shared" si="4"/>
        <v>363.27999999999975</v>
      </c>
      <c r="J12" s="110">
        <f t="shared" si="5"/>
        <v>105.58892307692307</v>
      </c>
      <c r="K12" s="112">
        <v>3744.64</v>
      </c>
      <c r="L12" s="112">
        <f t="shared" si="1"/>
        <v>3118.64</v>
      </c>
      <c r="M12" s="252">
        <f t="shared" si="2"/>
        <v>1.8328277217569646</v>
      </c>
      <c r="N12" s="111">
        <f>E12-серпень!E12</f>
        <v>480</v>
      </c>
      <c r="O12" s="179">
        <f>F12-серпень!F12</f>
        <v>176.88999999999942</v>
      </c>
      <c r="P12" s="112">
        <f t="shared" si="6"/>
        <v>-303.1100000000006</v>
      </c>
      <c r="Q12" s="198">
        <f t="shared" si="7"/>
        <v>36.85208333333321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7122.01</v>
      </c>
      <c r="G13" s="109">
        <f t="shared" si="0"/>
        <v>-2542.83</v>
      </c>
      <c r="H13" s="32">
        <f t="shared" si="3"/>
        <v>73.68989036548975</v>
      </c>
      <c r="I13" s="110">
        <f t="shared" si="4"/>
        <v>-5277.99</v>
      </c>
      <c r="J13" s="110">
        <f t="shared" si="5"/>
        <v>57.435564516129034</v>
      </c>
      <c r="K13" s="112">
        <v>5730.24</v>
      </c>
      <c r="L13" s="112">
        <f t="shared" si="1"/>
        <v>1391.7700000000004</v>
      </c>
      <c r="M13" s="252">
        <f t="shared" si="2"/>
        <v>1.2428816245043839</v>
      </c>
      <c r="N13" s="111">
        <f>E13-серпень!E13</f>
        <v>1300</v>
      </c>
      <c r="O13" s="179">
        <f>F13-серпень!F13</f>
        <v>104.76000000000022</v>
      </c>
      <c r="P13" s="112">
        <f t="shared" si="6"/>
        <v>-1195.2399999999998</v>
      </c>
      <c r="Q13" s="198">
        <f t="shared" si="7"/>
        <v>8.058461538461554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2588.42</v>
      </c>
      <c r="G14" s="109">
        <f t="shared" si="0"/>
        <v>-859.6199999999999</v>
      </c>
      <c r="H14" s="32">
        <f t="shared" si="3"/>
        <v>75.0693147411283</v>
      </c>
      <c r="I14" s="110">
        <f t="shared" si="4"/>
        <v>-891.5799999999999</v>
      </c>
      <c r="J14" s="110">
        <f t="shared" si="5"/>
        <v>74.37988505747126</v>
      </c>
      <c r="K14" s="112">
        <v>6961.36</v>
      </c>
      <c r="L14" s="112">
        <f t="shared" si="1"/>
        <v>-4372.94</v>
      </c>
      <c r="M14" s="252">
        <f t="shared" si="2"/>
        <v>0.3718267694818254</v>
      </c>
      <c r="N14" s="111">
        <f>E14-серпень!E14</f>
        <v>5</v>
      </c>
      <c r="O14" s="179">
        <f>F14-серпень!F14</f>
        <v>46.039999999999964</v>
      </c>
      <c r="P14" s="112">
        <f t="shared" si="6"/>
        <v>41.039999999999964</v>
      </c>
      <c r="Q14" s="198">
        <f t="shared" si="7"/>
        <v>920.7999999999993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385.33</v>
      </c>
      <c r="G15" s="190">
        <f t="shared" si="0"/>
        <v>15.329999999999984</v>
      </c>
      <c r="H15" s="197">
        <f>F15/E15*100</f>
        <v>104.14324324324325</v>
      </c>
      <c r="I15" s="198">
        <f t="shared" si="4"/>
        <v>-114.67000000000002</v>
      </c>
      <c r="J15" s="198">
        <f t="shared" si="5"/>
        <v>77.066</v>
      </c>
      <c r="K15" s="201">
        <v>-666.69</v>
      </c>
      <c r="L15" s="201">
        <f t="shared" si="1"/>
        <v>1052.02</v>
      </c>
      <c r="M15" s="253">
        <f t="shared" si="2"/>
        <v>-0.5779747708830191</v>
      </c>
      <c r="N15" s="197">
        <f>E15-серпень!E15</f>
        <v>5</v>
      </c>
      <c r="O15" s="200">
        <f>F15-серпень!F15</f>
        <v>0.06999999999999318</v>
      </c>
      <c r="P15" s="201">
        <f t="shared" si="6"/>
        <v>-4.930000000000007</v>
      </c>
      <c r="Q15" s="198">
        <f t="shared" si="7"/>
        <v>1.3999999999998636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64492.02</v>
      </c>
      <c r="G19" s="190">
        <f t="shared" si="0"/>
        <v>-15568.379999999997</v>
      </c>
      <c r="H19" s="197">
        <f t="shared" si="3"/>
        <v>80.5542065740366</v>
      </c>
      <c r="I19" s="198">
        <f t="shared" si="4"/>
        <v>-45407.98</v>
      </c>
      <c r="J19" s="198">
        <f t="shared" si="5"/>
        <v>58.6824567788899</v>
      </c>
      <c r="K19" s="209">
        <v>51468.87</v>
      </c>
      <c r="L19" s="201">
        <f t="shared" si="1"/>
        <v>13023.149999999994</v>
      </c>
      <c r="M19" s="259">
        <f t="shared" si="2"/>
        <v>1.2530296468525537</v>
      </c>
      <c r="N19" s="197">
        <f>E19-серпень!E19</f>
        <v>10800</v>
      </c>
      <c r="O19" s="200">
        <f>F19-серпень!F19</f>
        <v>55.73999999999796</v>
      </c>
      <c r="P19" s="201">
        <f t="shared" si="6"/>
        <v>-10744.260000000002</v>
      </c>
      <c r="Q19" s="198">
        <f aca="true" t="shared" si="9" ref="Q19:Q24">O19/N19*100</f>
        <v>0.5161111111110923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244835.94</v>
      </c>
      <c r="F20" s="272">
        <f>F21+F29+F30+F31+F32</f>
        <v>230693.89999999997</v>
      </c>
      <c r="G20" s="190">
        <f t="shared" si="0"/>
        <v>-14142.040000000037</v>
      </c>
      <c r="H20" s="197">
        <f t="shared" si="3"/>
        <v>94.2238708908504</v>
      </c>
      <c r="I20" s="198">
        <f t="shared" si="4"/>
        <v>-62282.75000000006</v>
      </c>
      <c r="J20" s="198">
        <f t="shared" si="5"/>
        <v>78.7413945787147</v>
      </c>
      <c r="K20" s="198">
        <v>160106.6</v>
      </c>
      <c r="L20" s="201">
        <f t="shared" si="1"/>
        <v>70587.29999999996</v>
      </c>
      <c r="M20" s="254">
        <f t="shared" si="2"/>
        <v>1.4408768907715233</v>
      </c>
      <c r="N20" s="197">
        <f>N21+N30+N31+N32</f>
        <v>17502.83</v>
      </c>
      <c r="O20" s="200">
        <f>F20-серпень!F20</f>
        <v>2018.9399999999732</v>
      </c>
      <c r="P20" s="201">
        <f t="shared" si="6"/>
        <v>-15483.890000000029</v>
      </c>
      <c r="Q20" s="198">
        <f t="shared" si="9"/>
        <v>11.53493463628438</v>
      </c>
      <c r="R20" s="113"/>
      <c r="S20" s="114"/>
      <c r="T20" s="186">
        <f t="shared" si="8"/>
        <v>48140.71000000002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122609.09</v>
      </c>
      <c r="G21" s="190">
        <f t="shared" si="0"/>
        <v>-11471.700000000012</v>
      </c>
      <c r="H21" s="197">
        <f t="shared" si="3"/>
        <v>91.44418823904601</v>
      </c>
      <c r="I21" s="198">
        <f t="shared" si="4"/>
        <v>-52290.56</v>
      </c>
      <c r="J21" s="198">
        <f t="shared" si="5"/>
        <v>70.10253593989468</v>
      </c>
      <c r="K21" s="198">
        <v>88979.33</v>
      </c>
      <c r="L21" s="201">
        <f t="shared" si="1"/>
        <v>33629.759999999995</v>
      </c>
      <c r="M21" s="254">
        <f t="shared" si="2"/>
        <v>1.3779502497939689</v>
      </c>
      <c r="N21" s="197">
        <f>N22+N25+N26</f>
        <v>13311.830000000004</v>
      </c>
      <c r="O21" s="200">
        <f>F21-серпень!F21</f>
        <v>929.1199999999953</v>
      </c>
      <c r="P21" s="201">
        <f t="shared" si="6"/>
        <v>-12382.710000000008</v>
      </c>
      <c r="Q21" s="198">
        <f t="shared" si="9"/>
        <v>6.979656440925066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14991.65</v>
      </c>
      <c r="G22" s="212">
        <f t="shared" si="0"/>
        <v>-132.82999999999993</v>
      </c>
      <c r="H22" s="214">
        <f t="shared" si="3"/>
        <v>99.12175492975626</v>
      </c>
      <c r="I22" s="215">
        <f t="shared" si="4"/>
        <v>-3508.3500000000004</v>
      </c>
      <c r="J22" s="215">
        <f t="shared" si="5"/>
        <v>81.03594594594594</v>
      </c>
      <c r="K22" s="216">
        <v>9131.68</v>
      </c>
      <c r="L22" s="206">
        <f t="shared" si="1"/>
        <v>5859.969999999999</v>
      </c>
      <c r="M22" s="262">
        <f t="shared" si="2"/>
        <v>1.6417187198850594</v>
      </c>
      <c r="N22" s="214">
        <f>E22-серпень!E22</f>
        <v>547.5799999999999</v>
      </c>
      <c r="O22" s="217">
        <f>F22-серпень!F22</f>
        <v>118.18000000000029</v>
      </c>
      <c r="P22" s="218">
        <f t="shared" si="6"/>
        <v>-429.39999999999964</v>
      </c>
      <c r="Q22" s="215">
        <f t="shared" si="9"/>
        <v>21.582234559333852</v>
      </c>
      <c r="R22" s="113"/>
      <c r="S22" s="114"/>
      <c r="T22" s="186">
        <f t="shared" si="8"/>
        <v>3375.5200000000004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1024.4</v>
      </c>
      <c r="F23" s="203">
        <v>632.1</v>
      </c>
      <c r="G23" s="241">
        <f t="shared" si="0"/>
        <v>-392.30000000000007</v>
      </c>
      <c r="H23" s="242">
        <f t="shared" si="3"/>
        <v>61.704412338930105</v>
      </c>
      <c r="I23" s="243">
        <f t="shared" si="4"/>
        <v>-1367.9</v>
      </c>
      <c r="J23" s="243">
        <f t="shared" si="5"/>
        <v>31.605</v>
      </c>
      <c r="K23" s="261">
        <v>574.07</v>
      </c>
      <c r="L23" s="261">
        <f t="shared" si="1"/>
        <v>58.02999999999997</v>
      </c>
      <c r="M23" s="263">
        <f t="shared" si="2"/>
        <v>1.1010852335081087</v>
      </c>
      <c r="N23" s="239">
        <f>E23-серпень!E23</f>
        <v>150.0000000000001</v>
      </c>
      <c r="O23" s="239">
        <f>F23-серпень!F23</f>
        <v>8.460000000000036</v>
      </c>
      <c r="P23" s="240">
        <f t="shared" si="6"/>
        <v>-141.54000000000008</v>
      </c>
      <c r="Q23" s="240">
        <f t="shared" si="9"/>
        <v>5.64000000000002</v>
      </c>
      <c r="R23" s="113"/>
      <c r="S23" s="114"/>
      <c r="T23" s="186">
        <f t="shared" si="8"/>
        <v>975.5999999999999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14100.08</v>
      </c>
      <c r="F24" s="203">
        <v>14359.55</v>
      </c>
      <c r="G24" s="241">
        <f t="shared" si="0"/>
        <v>259.46999999999935</v>
      </c>
      <c r="H24" s="242">
        <f t="shared" si="3"/>
        <v>101.84020232509319</v>
      </c>
      <c r="I24" s="243">
        <f t="shared" si="4"/>
        <v>-2140.4500000000007</v>
      </c>
      <c r="J24" s="243">
        <f t="shared" si="5"/>
        <v>87.02757575757575</v>
      </c>
      <c r="K24" s="261">
        <v>8557.61</v>
      </c>
      <c r="L24" s="261">
        <f t="shared" si="1"/>
        <v>5801.939999999999</v>
      </c>
      <c r="M24" s="263">
        <f t="shared" si="2"/>
        <v>1.6779860264723443</v>
      </c>
      <c r="N24" s="239">
        <f>E24-серпень!E24</f>
        <v>397.5799999999999</v>
      </c>
      <c r="O24" s="239">
        <f>F24-серпень!F24</f>
        <v>109.71999999999935</v>
      </c>
      <c r="P24" s="240">
        <f t="shared" si="6"/>
        <v>-287.8600000000006</v>
      </c>
      <c r="Q24" s="240">
        <f t="shared" si="9"/>
        <v>27.596961617787457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694.01</v>
      </c>
      <c r="G25" s="212">
        <f t="shared" si="0"/>
        <v>-233.33000000000004</v>
      </c>
      <c r="H25" s="214">
        <f t="shared" si="3"/>
        <v>74.83878620570664</v>
      </c>
      <c r="I25" s="215">
        <f t="shared" si="4"/>
        <v>-305.99</v>
      </c>
      <c r="J25" s="215">
        <f t="shared" si="5"/>
        <v>69.401</v>
      </c>
      <c r="K25" s="215">
        <v>3333.63</v>
      </c>
      <c r="L25" s="215">
        <f t="shared" si="1"/>
        <v>-2639.62</v>
      </c>
      <c r="M25" s="257">
        <f t="shared" si="2"/>
        <v>0.20818447158202918</v>
      </c>
      <c r="N25" s="214">
        <f>E25-серпень!E25</f>
        <v>34.200000000000045</v>
      </c>
      <c r="O25" s="217">
        <f>F25-серпень!F25</f>
        <v>25.00999999999999</v>
      </c>
      <c r="P25" s="218">
        <f t="shared" si="6"/>
        <v>-9.190000000000055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106923.43</v>
      </c>
      <c r="G26" s="212">
        <f t="shared" si="0"/>
        <v>-11105.540000000008</v>
      </c>
      <c r="H26" s="214">
        <f t="shared" si="3"/>
        <v>90.5908354533637</v>
      </c>
      <c r="I26" s="215">
        <f t="shared" si="4"/>
        <v>-48476.22</v>
      </c>
      <c r="J26" s="215">
        <f t="shared" si="5"/>
        <v>68.80545097752794</v>
      </c>
      <c r="K26" s="216">
        <v>76514.01</v>
      </c>
      <c r="L26" s="216">
        <f t="shared" si="1"/>
        <v>30409.42</v>
      </c>
      <c r="M26" s="256">
        <f t="shared" si="2"/>
        <v>1.39743597283687</v>
      </c>
      <c r="N26" s="214">
        <f>E26-серпень!E26</f>
        <v>12730.050000000003</v>
      </c>
      <c r="O26" s="217">
        <f>F26-серпень!F26</f>
        <v>785.929999999993</v>
      </c>
      <c r="P26" s="218">
        <f t="shared" si="6"/>
        <v>-11944.12000000001</v>
      </c>
      <c r="Q26" s="215">
        <f>O26/N26*100</f>
        <v>6.173817070632031</v>
      </c>
      <c r="R26" s="113"/>
      <c r="S26" s="114"/>
      <c r="T26" s="186">
        <f t="shared" si="8"/>
        <v>37370.67999999999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36881.8</v>
      </c>
      <c r="F27" s="203">
        <v>34273.07</v>
      </c>
      <c r="G27" s="241">
        <f t="shared" si="0"/>
        <v>-2608.730000000003</v>
      </c>
      <c r="H27" s="242">
        <f t="shared" si="3"/>
        <v>92.92678231539675</v>
      </c>
      <c r="I27" s="243">
        <f t="shared" si="4"/>
        <v>-13093.93</v>
      </c>
      <c r="J27" s="243">
        <f t="shared" si="5"/>
        <v>72.35642958177634</v>
      </c>
      <c r="K27" s="261">
        <v>20770.43</v>
      </c>
      <c r="L27" s="261">
        <f t="shared" si="1"/>
        <v>13502.64</v>
      </c>
      <c r="M27" s="263">
        <f t="shared" si="2"/>
        <v>1.6500895744575341</v>
      </c>
      <c r="N27" s="239">
        <f>E27-серпень!E27</f>
        <v>3590.050000000003</v>
      </c>
      <c r="O27" s="239">
        <f>F27-серпень!F27</f>
        <v>235.25</v>
      </c>
      <c r="P27" s="240">
        <f t="shared" si="6"/>
        <v>-3354.800000000003</v>
      </c>
      <c r="Q27" s="240">
        <f>O27/N27*100</f>
        <v>6.552833525995454</v>
      </c>
      <c r="R27" s="113"/>
      <c r="S27" s="114"/>
      <c r="T27" s="186">
        <f t="shared" si="8"/>
        <v>10485.199999999997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81147.17</v>
      </c>
      <c r="F28" s="203">
        <v>72650.36</v>
      </c>
      <c r="G28" s="241">
        <f t="shared" si="0"/>
        <v>-8496.809999999998</v>
      </c>
      <c r="H28" s="242">
        <f t="shared" si="3"/>
        <v>89.52913576653381</v>
      </c>
      <c r="I28" s="243">
        <f t="shared" si="4"/>
        <v>-35382.28999999999</v>
      </c>
      <c r="J28" s="243">
        <f t="shared" si="5"/>
        <v>67.24852162748947</v>
      </c>
      <c r="K28" s="261">
        <v>55743.59</v>
      </c>
      <c r="L28" s="261">
        <f t="shared" si="1"/>
        <v>16906.770000000004</v>
      </c>
      <c r="M28" s="263">
        <f t="shared" si="2"/>
        <v>1.303295320592018</v>
      </c>
      <c r="N28" s="239">
        <f>E28-серпень!E28</f>
        <v>9140</v>
      </c>
      <c r="O28" s="239">
        <f>F28-серпень!F28</f>
        <v>550.6900000000023</v>
      </c>
      <c r="P28" s="240">
        <f t="shared" si="6"/>
        <v>-8589.309999999998</v>
      </c>
      <c r="Q28" s="240">
        <f>O28/N28*100</f>
        <v>6.025054704595211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85.95</v>
      </c>
      <c r="G30" s="190">
        <f t="shared" si="0"/>
        <v>30.64</v>
      </c>
      <c r="H30" s="197">
        <f t="shared" si="3"/>
        <v>155.39685409510034</v>
      </c>
      <c r="I30" s="198">
        <f t="shared" si="4"/>
        <v>8.950000000000003</v>
      </c>
      <c r="J30" s="198">
        <f t="shared" si="5"/>
        <v>111.62337662337663</v>
      </c>
      <c r="K30" s="198">
        <v>55.85</v>
      </c>
      <c r="L30" s="198">
        <f t="shared" si="1"/>
        <v>30.1</v>
      </c>
      <c r="M30" s="255">
        <f>F30/K30</f>
        <v>1.5389435989256939</v>
      </c>
      <c r="N30" s="197">
        <f>E30-серпень!E30</f>
        <v>7</v>
      </c>
      <c r="O30" s="200">
        <f>F30-серпень!F30</f>
        <v>0</v>
      </c>
      <c r="P30" s="201">
        <f t="shared" si="6"/>
        <v>-7</v>
      </c>
      <c r="Q30" s="198">
        <f>O30/N30*100</f>
        <v>0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-153.27</v>
      </c>
      <c r="G31" s="190">
        <f t="shared" si="0"/>
        <v>-153.27</v>
      </c>
      <c r="H31" s="197"/>
      <c r="I31" s="198">
        <f t="shared" si="4"/>
        <v>-153.27</v>
      </c>
      <c r="J31" s="198"/>
      <c r="K31" s="198">
        <v>-705.98</v>
      </c>
      <c r="L31" s="198">
        <f t="shared" si="1"/>
        <v>552.71</v>
      </c>
      <c r="M31" s="255">
        <f>F31/K31</f>
        <v>0.21710246749199694</v>
      </c>
      <c r="N31" s="197">
        <f>E31-серпень!E31</f>
        <v>0</v>
      </c>
      <c r="O31" s="200">
        <f>F31-серпень!F31</f>
        <v>-3.0400000000000205</v>
      </c>
      <c r="P31" s="201">
        <f t="shared" si="6"/>
        <v>-3.0400000000000205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v>110699.84</v>
      </c>
      <c r="F32" s="203">
        <v>108151.98</v>
      </c>
      <c r="G32" s="202">
        <f t="shared" si="0"/>
        <v>-2547.8600000000006</v>
      </c>
      <c r="H32" s="204">
        <f t="shared" si="3"/>
        <v>97.69840679083185</v>
      </c>
      <c r="I32" s="205">
        <f t="shared" si="4"/>
        <v>-9848.020000000004</v>
      </c>
      <c r="J32" s="205">
        <f t="shared" si="5"/>
        <v>91.65422033898305</v>
      </c>
      <c r="K32" s="219">
        <v>71777.4</v>
      </c>
      <c r="L32" s="219">
        <f>F32-K32</f>
        <v>36374.58</v>
      </c>
      <c r="M32" s="411">
        <f>F32/K32</f>
        <v>1.5067692616338848</v>
      </c>
      <c r="N32" s="197">
        <f>E32-серпень!E32</f>
        <v>4184</v>
      </c>
      <c r="O32" s="200">
        <f>F32-серпень!F32</f>
        <v>1092.8600000000006</v>
      </c>
      <c r="P32" s="207">
        <f t="shared" si="6"/>
        <v>-3091.1399999999994</v>
      </c>
      <c r="Q32" s="205">
        <f>O32/N32*100</f>
        <v>26.11998087954112</v>
      </c>
      <c r="R32" s="113"/>
      <c r="S32" s="114"/>
      <c r="T32" s="186">
        <f t="shared" si="8"/>
        <v>7300.1600000000035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28217</v>
      </c>
      <c r="E34" s="109">
        <v>27862.97</v>
      </c>
      <c r="F34" s="171">
        <v>27536.99</v>
      </c>
      <c r="G34" s="109">
        <f t="shared" si="0"/>
        <v>-325.97999999999956</v>
      </c>
      <c r="H34" s="111">
        <f t="shared" si="3"/>
        <v>98.83006011204118</v>
      </c>
      <c r="I34" s="110">
        <f t="shared" si="4"/>
        <v>-680.0099999999984</v>
      </c>
      <c r="J34" s="110">
        <f t="shared" si="5"/>
        <v>97.59006981606834</v>
      </c>
      <c r="K34" s="142">
        <v>17739.76</v>
      </c>
      <c r="L34" s="142">
        <f t="shared" si="1"/>
        <v>9797.230000000003</v>
      </c>
      <c r="M34" s="264">
        <f t="shared" si="10"/>
        <v>1.5522752280752392</v>
      </c>
      <c r="N34" s="111">
        <f>E34-серпень!E34</f>
        <v>900</v>
      </c>
      <c r="O34" s="179">
        <f>F34-серпень!F34</f>
        <v>153.90999999999985</v>
      </c>
      <c r="P34" s="112">
        <f t="shared" si="6"/>
        <v>-746.0900000000001</v>
      </c>
      <c r="Q34" s="110">
        <f>O34/N34*100</f>
        <v>17.101111111111095</v>
      </c>
      <c r="R34" s="113"/>
      <c r="S34" s="114"/>
      <c r="T34" s="186">
        <f t="shared" si="8"/>
        <v>354.02999999999884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89732</v>
      </c>
      <c r="E35" s="109">
        <v>82820.08</v>
      </c>
      <c r="F35" s="171">
        <v>80593.74</v>
      </c>
      <c r="G35" s="109">
        <f t="shared" si="0"/>
        <v>-2226.3399999999965</v>
      </c>
      <c r="H35" s="111">
        <f t="shared" si="3"/>
        <v>97.31183548723934</v>
      </c>
      <c r="I35" s="110">
        <f t="shared" si="4"/>
        <v>-9138.259999999995</v>
      </c>
      <c r="J35" s="110">
        <f t="shared" si="5"/>
        <v>89.81605224446129</v>
      </c>
      <c r="K35" s="142">
        <v>54015.97</v>
      </c>
      <c r="L35" s="142">
        <f t="shared" si="1"/>
        <v>26577.770000000004</v>
      </c>
      <c r="M35" s="264">
        <f t="shared" si="10"/>
        <v>1.4920354110090035</v>
      </c>
      <c r="N35" s="111">
        <f>E35-серпень!E35</f>
        <v>3284</v>
      </c>
      <c r="O35" s="179">
        <f>F35-серпень!F35</f>
        <v>942.9400000000023</v>
      </c>
      <c r="P35" s="112">
        <f t="shared" si="6"/>
        <v>-2341.0599999999977</v>
      </c>
      <c r="Q35" s="110">
        <f>O35/N35*100</f>
        <v>28.713154689403236</v>
      </c>
      <c r="R35" s="113"/>
      <c r="S35" s="114"/>
      <c r="T35" s="186">
        <f t="shared" si="8"/>
        <v>6911.919999999998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21.05</v>
      </c>
      <c r="G36" s="109">
        <f t="shared" si="0"/>
        <v>4.260000000000002</v>
      </c>
      <c r="H36" s="111">
        <f t="shared" si="3"/>
        <v>125.37224538415725</v>
      </c>
      <c r="I36" s="110">
        <f t="shared" si="4"/>
        <v>-29.95</v>
      </c>
      <c r="J36" s="110">
        <f t="shared" si="5"/>
        <v>41.274509803921575</v>
      </c>
      <c r="K36" s="142">
        <v>22.84</v>
      </c>
      <c r="L36" s="142">
        <f t="shared" si="1"/>
        <v>-1.7899999999999991</v>
      </c>
      <c r="M36" s="264">
        <f t="shared" si="10"/>
        <v>0.9216287215411559</v>
      </c>
      <c r="N36" s="111">
        <f>E36-серпень!E36</f>
        <v>0</v>
      </c>
      <c r="O36" s="179">
        <f>F36-серпень!F36</f>
        <v>-3.9499999999999993</v>
      </c>
      <c r="P36" s="112">
        <f t="shared" si="6"/>
        <v>-3.9499999999999993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5579.18</v>
      </c>
      <c r="L37" s="132">
        <f t="shared" si="1"/>
        <v>-5579.18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48196.03</v>
      </c>
      <c r="F38" s="191">
        <f>F39+F40+F41+F42+F43+F45+F47+F48+F49+F50+F51+F56+F57+F61+F44</f>
        <v>47661.28</v>
      </c>
      <c r="G38" s="191">
        <f>G39+G40+G41+G42+G43+G45+G47+G48+G49+G50+G51+G56+G57+G61</f>
        <v>-561.899999999998</v>
      </c>
      <c r="H38" s="192">
        <f>F38/E38*100</f>
        <v>98.89046877927498</v>
      </c>
      <c r="I38" s="193">
        <f>F38-D38</f>
        <v>-9174.200000000004</v>
      </c>
      <c r="J38" s="193">
        <f>F38/D38*100</f>
        <v>83.85832230149195</v>
      </c>
      <c r="K38" s="191">
        <v>28244.63</v>
      </c>
      <c r="L38" s="191">
        <f t="shared" si="1"/>
        <v>19416.649999999998</v>
      </c>
      <c r="M38" s="250">
        <f t="shared" si="10"/>
        <v>1.6874457197704482</v>
      </c>
      <c r="N38" s="191">
        <f>N39+N40+N41+N42+N43+N45+N47+N48+N49+N50+N51+N56+N57+N61+N44</f>
        <v>5135</v>
      </c>
      <c r="O38" s="191">
        <f>O39+O40+O41+O42+O43+O45+O47+O48+O49+O50+O51+O56+O57+O61+O44</f>
        <v>4673.000000000001</v>
      </c>
      <c r="P38" s="191">
        <f>P39+P40+P41+P42+P43+P45+P47+P48+P49+P50+P51+P56+P57+P61</f>
        <v>-461.9999999999991</v>
      </c>
      <c r="Q38" s="191">
        <f>O38/N38*100</f>
        <v>91.00292112950342</v>
      </c>
      <c r="R38" s="15" t="e">
        <f>#N/A</f>
        <v>#N/A</v>
      </c>
      <c r="S38" s="15" t="e">
        <f>#N/A</f>
        <v>#N/A</v>
      </c>
      <c r="T38" s="186">
        <f t="shared" si="8"/>
        <v>8639.450000000004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416.84</v>
      </c>
      <c r="G39" s="202">
        <f>F39-E39</f>
        <v>33.839999999999975</v>
      </c>
      <c r="H39" s="204">
        <f aca="true" t="shared" si="11" ref="H39:H62">F39/E39*100</f>
        <v>108.8355091383812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E39-серпень!E39</f>
        <v>3</v>
      </c>
      <c r="O39" s="208">
        <f>F39-серпень!F39</f>
        <v>0</v>
      </c>
      <c r="P39" s="207">
        <f>O39-N39</f>
        <v>-3</v>
      </c>
      <c r="Q39" s="205">
        <f aca="true" t="shared" si="12" ref="Q39:Q62">O39/N39*100</f>
        <v>0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v>23237</v>
      </c>
      <c r="F40" s="196">
        <v>24166.13</v>
      </c>
      <c r="G40" s="202">
        <f aca="true" t="shared" si="13" ref="G40:G63">F40-E40</f>
        <v>929.130000000001</v>
      </c>
      <c r="H40" s="204">
        <f t="shared" si="11"/>
        <v>103.99849378146922</v>
      </c>
      <c r="I40" s="205">
        <f aca="true" t="shared" si="14" ref="I40:I63">F40-D40</f>
        <v>-833.869999999999</v>
      </c>
      <c r="J40" s="205">
        <f>F40/D40*100</f>
        <v>96.66452000000001</v>
      </c>
      <c r="K40" s="205">
        <v>4154.01</v>
      </c>
      <c r="L40" s="205">
        <f t="shared" si="1"/>
        <v>20012.120000000003</v>
      </c>
      <c r="M40" s="266"/>
      <c r="N40" s="204">
        <f>E40-серпень!E40</f>
        <v>2770</v>
      </c>
      <c r="O40" s="208">
        <f>F40-серпень!F40-0.01</f>
        <v>3605.9400000000005</v>
      </c>
      <c r="P40" s="207">
        <f aca="true" t="shared" si="15" ref="P40:P63">O40-N40</f>
        <v>835.9400000000005</v>
      </c>
      <c r="Q40" s="205">
        <f t="shared" si="12"/>
        <v>130.17833935018052</v>
      </c>
      <c r="R40" s="42"/>
      <c r="S40" s="100"/>
      <c r="T40" s="186">
        <f t="shared" si="8"/>
        <v>1763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321.98</v>
      </c>
      <c r="L41" s="205">
        <f t="shared" si="1"/>
        <v>-290</v>
      </c>
      <c r="M41" s="266">
        <f aca="true" t="shared" si="17" ref="M41:M63">F41/K41</f>
        <v>0.0993229393130008</v>
      </c>
      <c r="N41" s="204">
        <f>E41-серпень!E41</f>
        <v>0</v>
      </c>
      <c r="O41" s="208">
        <f>F41-серпень!F41</f>
        <v>3.91</v>
      </c>
      <c r="P41" s="207">
        <f t="shared" si="15"/>
        <v>3.91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195.12</v>
      </c>
      <c r="G43" s="202">
        <f t="shared" si="13"/>
        <v>105.12</v>
      </c>
      <c r="H43" s="204">
        <f t="shared" si="11"/>
        <v>216.8</v>
      </c>
      <c r="I43" s="205">
        <f t="shared" si="14"/>
        <v>45.120000000000005</v>
      </c>
      <c r="J43" s="205">
        <f t="shared" si="16"/>
        <v>130.07999999999998</v>
      </c>
      <c r="K43" s="205">
        <v>117.11</v>
      </c>
      <c r="L43" s="205">
        <f t="shared" si="1"/>
        <v>78.01</v>
      </c>
      <c r="M43" s="266">
        <f t="shared" si="17"/>
        <v>1.6661258645717703</v>
      </c>
      <c r="N43" s="204">
        <f>E43-серпень!E43</f>
        <v>10</v>
      </c>
      <c r="O43" s="208">
        <f>F43-серпень!F43</f>
        <v>0</v>
      </c>
      <c r="P43" s="207">
        <f t="shared" si="15"/>
        <v>-10</v>
      </c>
      <c r="Q43" s="205">
        <f t="shared" si="12"/>
        <v>0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4</v>
      </c>
      <c r="L44" s="205">
        <f t="shared" si="1"/>
        <v>37.15</v>
      </c>
      <c r="M44" s="266">
        <f t="shared" si="17"/>
        <v>10.2875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349.88</v>
      </c>
      <c r="G45" s="202">
        <f t="shared" si="13"/>
        <v>85.88</v>
      </c>
      <c r="H45" s="204">
        <f t="shared" si="11"/>
        <v>132.53030303030303</v>
      </c>
      <c r="I45" s="205">
        <f t="shared" si="14"/>
        <v>49.879999999999995</v>
      </c>
      <c r="J45" s="205">
        <f t="shared" si="16"/>
        <v>116.62666666666665</v>
      </c>
      <c r="K45" s="205">
        <v>0</v>
      </c>
      <c r="L45" s="205">
        <f t="shared" si="1"/>
        <v>349.88</v>
      </c>
      <c r="M45" s="266"/>
      <c r="N45" s="204">
        <f>E45-серпень!E45</f>
        <v>8</v>
      </c>
      <c r="O45" s="208">
        <f>F45-серпень!F45</f>
        <v>21.769999999999982</v>
      </c>
      <c r="P45" s="207">
        <f t="shared" si="15"/>
        <v>13.769999999999982</v>
      </c>
      <c r="Q45" s="205">
        <f t="shared" si="12"/>
        <v>272.1249999999998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7318.92</v>
      </c>
      <c r="G47" s="202">
        <f t="shared" si="13"/>
        <v>-530.1000000000004</v>
      </c>
      <c r="H47" s="204">
        <f t="shared" si="11"/>
        <v>93.24629061972067</v>
      </c>
      <c r="I47" s="205">
        <f t="shared" si="14"/>
        <v>-2581.08</v>
      </c>
      <c r="J47" s="205">
        <f t="shared" si="16"/>
        <v>73.92848484848486</v>
      </c>
      <c r="K47" s="205">
        <v>7605.46</v>
      </c>
      <c r="L47" s="205">
        <f t="shared" si="1"/>
        <v>-286.53999999999996</v>
      </c>
      <c r="M47" s="266">
        <f t="shared" si="17"/>
        <v>0.9623244353398742</v>
      </c>
      <c r="N47" s="204">
        <f>E47-серпень!E47</f>
        <v>800</v>
      </c>
      <c r="O47" s="208">
        <f>F47-серпень!F47</f>
        <v>256.27999999999975</v>
      </c>
      <c r="P47" s="207">
        <f t="shared" si="15"/>
        <v>-543.7200000000003</v>
      </c>
      <c r="Q47" s="205">
        <f t="shared" si="12"/>
        <v>32.03499999999997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176.25</v>
      </c>
      <c r="G48" s="202">
        <f t="shared" si="13"/>
        <v>-473.75</v>
      </c>
      <c r="H48" s="204">
        <f t="shared" si="11"/>
        <v>27.115384615384613</v>
      </c>
      <c r="I48" s="205">
        <f t="shared" si="14"/>
        <v>-473.75</v>
      </c>
      <c r="J48" s="205">
        <f t="shared" si="16"/>
        <v>27.115384615384613</v>
      </c>
      <c r="K48" s="205">
        <v>0</v>
      </c>
      <c r="L48" s="205">
        <f t="shared" si="1"/>
        <v>176.25</v>
      </c>
      <c r="M48" s="266"/>
      <c r="N48" s="204">
        <f>E48-серпень!E48</f>
        <v>0</v>
      </c>
      <c r="O48" s="208">
        <f>F48-серпень!F48</f>
        <v>7.990000000000009</v>
      </c>
      <c r="P48" s="207">
        <f t="shared" si="15"/>
        <v>7.990000000000009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15.44</v>
      </c>
      <c r="G49" s="202">
        <f t="shared" si="13"/>
        <v>-16.560000000000002</v>
      </c>
      <c r="H49" s="204">
        <f t="shared" si="11"/>
        <v>48.25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E49-серпень!E49</f>
        <v>4</v>
      </c>
      <c r="O49" s="208">
        <f>F49-серпень!F49</f>
        <v>0</v>
      </c>
      <c r="P49" s="207">
        <f t="shared" si="15"/>
        <v>-4</v>
      </c>
      <c r="Q49" s="205">
        <f t="shared" si="12"/>
        <v>0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5625.22</v>
      </c>
      <c r="G50" s="202">
        <f t="shared" si="13"/>
        <v>-291.0099999999993</v>
      </c>
      <c r="H50" s="204">
        <f t="shared" si="11"/>
        <v>95.08115810237264</v>
      </c>
      <c r="I50" s="205">
        <f t="shared" si="14"/>
        <v>-2374.7799999999997</v>
      </c>
      <c r="J50" s="205">
        <f t="shared" si="16"/>
        <v>70.31525</v>
      </c>
      <c r="K50" s="205">
        <v>6785.09</v>
      </c>
      <c r="L50" s="205">
        <f t="shared" si="1"/>
        <v>-1159.87</v>
      </c>
      <c r="M50" s="266">
        <f t="shared" si="17"/>
        <v>0.8290560626314464</v>
      </c>
      <c r="N50" s="204">
        <f>E50-серпень!E50</f>
        <v>650</v>
      </c>
      <c r="O50" s="208">
        <f>F50-серпень!F50</f>
        <v>557.0300000000007</v>
      </c>
      <c r="P50" s="207">
        <f t="shared" si="15"/>
        <v>-92.96999999999935</v>
      </c>
      <c r="Q50" s="205">
        <f t="shared" si="12"/>
        <v>85.69692307692318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4489.04</v>
      </c>
      <c r="G51" s="202">
        <f t="shared" si="13"/>
        <v>-422.14999999999964</v>
      </c>
      <c r="H51" s="204">
        <f t="shared" si="11"/>
        <v>91.40432359570696</v>
      </c>
      <c r="I51" s="205">
        <f t="shared" si="14"/>
        <v>-2511</v>
      </c>
      <c r="J51" s="205">
        <f t="shared" si="16"/>
        <v>64.12877640699196</v>
      </c>
      <c r="K51" s="205">
        <v>5721.95</v>
      </c>
      <c r="L51" s="205">
        <f t="shared" si="1"/>
        <v>-1232.9099999999999</v>
      </c>
      <c r="M51" s="266">
        <f t="shared" si="17"/>
        <v>0.7845297494735186</v>
      </c>
      <c r="N51" s="204">
        <f>E51-серпень!E51</f>
        <v>520</v>
      </c>
      <c r="O51" s="208">
        <f>F51-серпень!F51</f>
        <v>141.4300000000003</v>
      </c>
      <c r="P51" s="207">
        <f t="shared" si="15"/>
        <v>-378.5699999999997</v>
      </c>
      <c r="Q51" s="205">
        <f t="shared" si="12"/>
        <v>27.19807692307698</v>
      </c>
      <c r="R51" s="42"/>
      <c r="S51" s="100"/>
      <c r="T51" s="186">
        <f t="shared" si="8"/>
        <v>2088.8500000000004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581.71</v>
      </c>
      <c r="G52" s="36">
        <f t="shared" si="13"/>
        <v>-102.27999999999997</v>
      </c>
      <c r="H52" s="32">
        <f t="shared" si="11"/>
        <v>85.04656500826036</v>
      </c>
      <c r="I52" s="110">
        <f t="shared" si="14"/>
        <v>-388.28999999999996</v>
      </c>
      <c r="J52" s="110">
        <f t="shared" si="16"/>
        <v>59.97010309278351</v>
      </c>
      <c r="K52" s="110">
        <v>801.84</v>
      </c>
      <c r="L52" s="110">
        <f>F52-K52</f>
        <v>-220.13</v>
      </c>
      <c r="M52" s="115">
        <f t="shared" si="17"/>
        <v>0.7254689214805946</v>
      </c>
      <c r="N52" s="111">
        <f>E52-серпень!E52</f>
        <v>20</v>
      </c>
      <c r="O52" s="179">
        <f>F52-серпень!F52</f>
        <v>11.580000000000041</v>
      </c>
      <c r="P52" s="112">
        <f t="shared" si="15"/>
        <v>-8.419999999999959</v>
      </c>
      <c r="Q52" s="132">
        <f t="shared" si="12"/>
        <v>57.900000000000205</v>
      </c>
      <c r="R52" s="42"/>
      <c r="S52" s="100"/>
      <c r="T52" s="186">
        <f t="shared" si="8"/>
        <v>286.01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44.07</v>
      </c>
      <c r="L53" s="110">
        <f>F53-K53</f>
        <v>-43.8</v>
      </c>
      <c r="M53" s="115">
        <f t="shared" si="17"/>
        <v>0.006126616746085773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3907.04</v>
      </c>
      <c r="G55" s="36">
        <f t="shared" si="13"/>
        <v>-315.1300000000001</v>
      </c>
      <c r="H55" s="32">
        <f t="shared" si="11"/>
        <v>92.53630242268785</v>
      </c>
      <c r="I55" s="110">
        <f t="shared" si="14"/>
        <v>-2116.96</v>
      </c>
      <c r="J55" s="110">
        <f t="shared" si="16"/>
        <v>64.85790172642763</v>
      </c>
      <c r="K55" s="110">
        <v>4875.29</v>
      </c>
      <c r="L55" s="110">
        <f>F55-K55</f>
        <v>-968.25</v>
      </c>
      <c r="M55" s="115">
        <f t="shared" si="17"/>
        <v>0.8013964297508456</v>
      </c>
      <c r="N55" s="111">
        <f>E55-серпень!E55</f>
        <v>500</v>
      </c>
      <c r="O55" s="179">
        <f>F55-серпень!F55</f>
        <v>129.8499999999999</v>
      </c>
      <c r="P55" s="112">
        <f t="shared" si="15"/>
        <v>-370.1500000000001</v>
      </c>
      <c r="Q55" s="132">
        <f t="shared" si="12"/>
        <v>25.96999999999998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4673.82</v>
      </c>
      <c r="G57" s="202">
        <f t="shared" si="13"/>
        <v>35.840000000000146</v>
      </c>
      <c r="H57" s="204">
        <f t="shared" si="11"/>
        <v>100.77275020590861</v>
      </c>
      <c r="I57" s="205">
        <f t="shared" si="14"/>
        <v>-476.1800000000003</v>
      </c>
      <c r="J57" s="205">
        <f t="shared" si="16"/>
        <v>90.753786407767</v>
      </c>
      <c r="K57" s="205">
        <v>3571.45</v>
      </c>
      <c r="L57" s="205">
        <f aca="true" t="shared" si="18" ref="L57:L63">F57-K57</f>
        <v>1102.37</v>
      </c>
      <c r="M57" s="266">
        <f t="shared" si="17"/>
        <v>1.3086617480295117</v>
      </c>
      <c r="N57" s="204">
        <f>E57-серпень!E57</f>
        <v>370</v>
      </c>
      <c r="O57" s="208">
        <f>F57-серпень!F57</f>
        <v>71.98999999999978</v>
      </c>
      <c r="P57" s="207">
        <f t="shared" si="15"/>
        <v>-298.0100000000002</v>
      </c>
      <c r="Q57" s="205">
        <f t="shared" si="12"/>
        <v>19.4567567567567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893.11</v>
      </c>
      <c r="G59" s="202"/>
      <c r="H59" s="204"/>
      <c r="I59" s="205"/>
      <c r="J59" s="205"/>
      <c r="K59" s="206">
        <v>979.24</v>
      </c>
      <c r="L59" s="205">
        <f t="shared" si="18"/>
        <v>-86.13</v>
      </c>
      <c r="M59" s="266">
        <f t="shared" si="17"/>
        <v>0.9120440341489319</v>
      </c>
      <c r="N59" s="204"/>
      <c r="O59" s="208">
        <f>F59-серпень!F59</f>
        <v>26.00999999999999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E61-серпень!E61</f>
        <v>0</v>
      </c>
      <c r="O61" s="208">
        <f>F61-серпень!F61</f>
        <v>6.659999999999997</v>
      </c>
      <c r="P61" s="207">
        <f t="shared" si="15"/>
        <v>6.659999999999997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748566.14</v>
      </c>
      <c r="F64" s="191">
        <f>F8+F38+F62+F63</f>
        <v>695109.4</v>
      </c>
      <c r="G64" s="191">
        <f>F64-E64</f>
        <v>-53456.73999999999</v>
      </c>
      <c r="H64" s="192">
        <f>F64/E64*100</f>
        <v>92.85878199086055</v>
      </c>
      <c r="I64" s="193">
        <f>F64-D64</f>
        <v>-295828.3300000001</v>
      </c>
      <c r="J64" s="193">
        <f>F64/D64*100</f>
        <v>70.14662767962221</v>
      </c>
      <c r="K64" s="193">
        <v>509138.63</v>
      </c>
      <c r="L64" s="193">
        <f>F64-K64</f>
        <v>185970.77000000002</v>
      </c>
      <c r="M64" s="267">
        <f>F64/K64</f>
        <v>1.3652654877120598</v>
      </c>
      <c r="N64" s="191">
        <f>N8+N38+N62+N63</f>
        <v>76130.13</v>
      </c>
      <c r="O64" s="191">
        <f>O8+O38+O62+O63</f>
        <v>18585.739999999972</v>
      </c>
      <c r="P64" s="195">
        <f>O64-N64</f>
        <v>-57544.39000000003</v>
      </c>
      <c r="Q64" s="193">
        <f>O64/N64*100</f>
        <v>24.413120009121187</v>
      </c>
      <c r="R64" s="28">
        <f>O64-34768</f>
        <v>-16182.260000000028</v>
      </c>
      <c r="S64" s="128">
        <f>O64/34768</f>
        <v>0.5345645421076844</v>
      </c>
      <c r="T64" s="186">
        <f t="shared" si="8"/>
        <v>242371.59000000008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-51.7</v>
      </c>
      <c r="L70" s="207">
        <f>F70-K70</f>
        <v>47.870000000000005</v>
      </c>
      <c r="M70" s="254">
        <f>F70/K70</f>
        <v>0.07408123791102514</v>
      </c>
      <c r="N70" s="204"/>
      <c r="O70" s="223">
        <f>F70-серпень!F70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1553.92</v>
      </c>
      <c r="G73" s="202">
        <f aca="true" t="shared" si="19" ref="G73:G83">F73-E73</f>
        <v>-1146.08</v>
      </c>
      <c r="H73" s="204"/>
      <c r="I73" s="207">
        <f aca="true" t="shared" si="20" ref="I73:I83">F73-D73</f>
        <v>-2646.08</v>
      </c>
      <c r="J73" s="207">
        <f>F73/D73*100</f>
        <v>36.99809523809524</v>
      </c>
      <c r="K73" s="207">
        <v>593.1</v>
      </c>
      <c r="L73" s="207">
        <f aca="true" t="shared" si="21" ref="L73:L83">F73-K73</f>
        <v>960.82</v>
      </c>
      <c r="M73" s="254">
        <f>F73/K73</f>
        <v>2.6199966278873714</v>
      </c>
      <c r="N73" s="204">
        <f>E73-серпень!E73</f>
        <v>500</v>
      </c>
      <c r="O73" s="208">
        <f>F73-серпень!F73</f>
        <v>18.75</v>
      </c>
      <c r="P73" s="207">
        <f aca="true" t="shared" si="22" ref="P73:P86">O73-N73</f>
        <v>-481.25</v>
      </c>
      <c r="Q73" s="207">
        <f>O73/N73*100</f>
        <v>3.75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6783.53</v>
      </c>
      <c r="G74" s="202">
        <f t="shared" si="19"/>
        <v>2091.3199999999997</v>
      </c>
      <c r="H74" s="204">
        <f>F74/E74*100</f>
        <v>144.570042687774</v>
      </c>
      <c r="I74" s="207">
        <f t="shared" si="20"/>
        <v>-675.4700000000003</v>
      </c>
      <c r="J74" s="207">
        <f>F74/D74*100</f>
        <v>90.94422844885372</v>
      </c>
      <c r="K74" s="207">
        <v>3987.63</v>
      </c>
      <c r="L74" s="207">
        <f t="shared" si="21"/>
        <v>2795.8999999999996</v>
      </c>
      <c r="M74" s="254">
        <f>F74/K74</f>
        <v>1.7011432856107511</v>
      </c>
      <c r="N74" s="204">
        <f>E74-серпень!E74</f>
        <v>815</v>
      </c>
      <c r="O74" s="208">
        <f>F74-серпень!F74</f>
        <v>0</v>
      </c>
      <c r="P74" s="207">
        <f t="shared" si="22"/>
        <v>-815</v>
      </c>
      <c r="Q74" s="207">
        <f>O74/N74*100</f>
        <v>0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10497.36</v>
      </c>
      <c r="G75" s="202">
        <f t="shared" si="19"/>
        <v>7798.51</v>
      </c>
      <c r="H75" s="204">
        <f>F75/E75*100</f>
        <v>388.9567778868778</v>
      </c>
      <c r="I75" s="207">
        <f t="shared" si="20"/>
        <v>4497.360000000001</v>
      </c>
      <c r="J75" s="207">
        <f>F75/D75*100</f>
        <v>174.956</v>
      </c>
      <c r="K75" s="207">
        <v>1859.08</v>
      </c>
      <c r="L75" s="207">
        <f t="shared" si="21"/>
        <v>8638.28</v>
      </c>
      <c r="M75" s="254">
        <f>F75/K75</f>
        <v>5.646534845192246</v>
      </c>
      <c r="N75" s="204">
        <f>E75-серпень!E75</f>
        <v>302</v>
      </c>
      <c r="O75" s="208">
        <f>F75-серпень!F75</f>
        <v>20.220000000001164</v>
      </c>
      <c r="P75" s="207">
        <f t="shared" si="22"/>
        <v>-281.77999999999884</v>
      </c>
      <c r="Q75" s="207">
        <f>O75/N75*100</f>
        <v>6.695364238410982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6</v>
      </c>
      <c r="G76" s="202">
        <f t="shared" si="19"/>
        <v>-3</v>
      </c>
      <c r="H76" s="204">
        <f>F76/E76*100</f>
        <v>66.66666666666666</v>
      </c>
      <c r="I76" s="207">
        <f t="shared" si="20"/>
        <v>-6</v>
      </c>
      <c r="J76" s="207">
        <f>F76/D76*100</f>
        <v>50</v>
      </c>
      <c r="K76" s="207">
        <v>29.22</v>
      </c>
      <c r="L76" s="207">
        <f t="shared" si="21"/>
        <v>-23.22</v>
      </c>
      <c r="M76" s="254"/>
      <c r="N76" s="204">
        <f>E76-серпень!E76</f>
        <v>1</v>
      </c>
      <c r="O76" s="208">
        <f>F76-серпень!F76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18840.81</v>
      </c>
      <c r="G77" s="226">
        <f t="shared" si="19"/>
        <v>8740.750000000002</v>
      </c>
      <c r="H77" s="227">
        <f>F77/E77*100</f>
        <v>186.54156509961328</v>
      </c>
      <c r="I77" s="228">
        <f t="shared" si="20"/>
        <v>1169.8100000000013</v>
      </c>
      <c r="J77" s="228">
        <f>F77/D77*100</f>
        <v>106.61994227830911</v>
      </c>
      <c r="K77" s="228">
        <v>6439.8</v>
      </c>
      <c r="L77" s="228">
        <f t="shared" si="21"/>
        <v>12401.010000000002</v>
      </c>
      <c r="M77" s="260">
        <f>F77/K77</f>
        <v>2.925682474611013</v>
      </c>
      <c r="N77" s="226">
        <f>N73+N74+N75+N76</f>
        <v>1618</v>
      </c>
      <c r="O77" s="230">
        <f>O73+O74+O75+O76</f>
        <v>38.970000000001164</v>
      </c>
      <c r="P77" s="228">
        <f t="shared" si="22"/>
        <v>-1579.0299999999988</v>
      </c>
      <c r="Q77" s="228">
        <f>O77/N77*100</f>
        <v>2.4085290482077357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6.49</v>
      </c>
      <c r="G78" s="202">
        <f t="shared" si="19"/>
        <v>6.49</v>
      </c>
      <c r="H78" s="204"/>
      <c r="I78" s="207">
        <f t="shared" si="20"/>
        <v>5.49</v>
      </c>
      <c r="J78" s="207"/>
      <c r="K78" s="207">
        <v>0.35</v>
      </c>
      <c r="L78" s="207">
        <f t="shared" si="21"/>
        <v>6.140000000000001</v>
      </c>
      <c r="M78" s="254">
        <f>F78/K78</f>
        <v>18.542857142857144</v>
      </c>
      <c r="N78" s="204">
        <f>E78-серпень!E78</f>
        <v>0</v>
      </c>
      <c r="O78" s="208">
        <f>F78-серпень!F78</f>
        <v>0.8200000000000003</v>
      </c>
      <c r="P78" s="207">
        <f t="shared" si="22"/>
        <v>0.8200000000000003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6825.1</v>
      </c>
      <c r="G80" s="202">
        <f t="shared" si="19"/>
        <v>-798.8999999999996</v>
      </c>
      <c r="H80" s="204">
        <f>F80/E80*100</f>
        <v>89.52124868835257</v>
      </c>
      <c r="I80" s="207">
        <f t="shared" si="20"/>
        <v>-2674.8999999999996</v>
      </c>
      <c r="J80" s="207">
        <f>F80/D80*100</f>
        <v>71.84315789473685</v>
      </c>
      <c r="K80" s="207">
        <v>0</v>
      </c>
      <c r="L80" s="207">
        <f t="shared" si="21"/>
        <v>6825.1</v>
      </c>
      <c r="M80" s="254"/>
      <c r="N80" s="204">
        <f>E80-серпень!E80</f>
        <v>0.3999999999996362</v>
      </c>
      <c r="O80" s="208">
        <f>F80-серпень!F80</f>
        <v>0.27000000000043656</v>
      </c>
      <c r="P80" s="207">
        <f>O80-N80</f>
        <v>-0.12999999999919964</v>
      </c>
      <c r="Q80" s="231">
        <f>O80/N80*100</f>
        <v>67.50000000017053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1</v>
      </c>
      <c r="L81" s="207">
        <f t="shared" si="21"/>
        <v>0.09000000000000008</v>
      </c>
      <c r="M81" s="254">
        <f>F81/K81</f>
        <v>1.09</v>
      </c>
      <c r="N81" s="204">
        <f>E81-серпень!E81</f>
        <v>0</v>
      </c>
      <c r="O81" s="208">
        <f>F81-серпень!F81</f>
        <v>0</v>
      </c>
      <c r="P81" s="207">
        <f t="shared" si="22"/>
        <v>0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6832.68</v>
      </c>
      <c r="G82" s="224">
        <f>G78+G81+G79+G80</f>
        <v>-791.3199999999996</v>
      </c>
      <c r="H82" s="227">
        <f>F82/E82*100</f>
        <v>89.62067156348374</v>
      </c>
      <c r="I82" s="228">
        <f t="shared" si="20"/>
        <v>-2668.3199999999997</v>
      </c>
      <c r="J82" s="228">
        <f>F82/D82*100</f>
        <v>71.91537732870225</v>
      </c>
      <c r="K82" s="228">
        <v>1.35</v>
      </c>
      <c r="L82" s="228">
        <f t="shared" si="21"/>
        <v>6831.33</v>
      </c>
      <c r="M82" s="268">
        <f>F82/K82</f>
        <v>5061.2444444444445</v>
      </c>
      <c r="N82" s="226">
        <f>N78+N81+N79+N80</f>
        <v>0.3999999999996362</v>
      </c>
      <c r="O82" s="230">
        <f>O78+O81+O79+O80</f>
        <v>1.0900000000004368</v>
      </c>
      <c r="P82" s="226">
        <f>P78+P81+P79+P80</f>
        <v>0.6900000000008006</v>
      </c>
      <c r="Q82" s="228">
        <f>O82/N82*100</f>
        <v>272.50000000035703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19.38</v>
      </c>
      <c r="G83" s="202">
        <f t="shared" si="19"/>
        <v>-9.59</v>
      </c>
      <c r="H83" s="204">
        <f>F83/E83*100</f>
        <v>66.89678978253365</v>
      </c>
      <c r="I83" s="207">
        <f t="shared" si="20"/>
        <v>-23.62</v>
      </c>
      <c r="J83" s="207">
        <f>F83/D83*100</f>
        <v>45.06976744186046</v>
      </c>
      <c r="K83" s="207">
        <v>29.22</v>
      </c>
      <c r="L83" s="207">
        <f t="shared" si="21"/>
        <v>-9.84</v>
      </c>
      <c r="M83" s="254">
        <f>F83/K83</f>
        <v>0.6632443531827515</v>
      </c>
      <c r="N83" s="204">
        <f>E83-серпень!E83</f>
        <v>8.169999999999998</v>
      </c>
      <c r="O83" s="208">
        <f>F83-серпень!F83</f>
        <v>0</v>
      </c>
      <c r="P83" s="207">
        <f t="shared" si="22"/>
        <v>-8.169999999999998</v>
      </c>
      <c r="Q83" s="207">
        <f>O83/N83</f>
        <v>0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25689.050000000003</v>
      </c>
      <c r="G85" s="233">
        <f>F85-E85</f>
        <v>7936.020000000004</v>
      </c>
      <c r="H85" s="234">
        <f>F85/E85*100</f>
        <v>144.70234095250223</v>
      </c>
      <c r="I85" s="235">
        <f>F85-D85</f>
        <v>-1525.949999999997</v>
      </c>
      <c r="J85" s="235">
        <f>F85/D85*100</f>
        <v>94.39298181150102</v>
      </c>
      <c r="K85" s="235">
        <v>6418.88</v>
      </c>
      <c r="L85" s="235">
        <f>F85-K85</f>
        <v>19270.170000000002</v>
      </c>
      <c r="M85" s="269">
        <f>F85/K85</f>
        <v>4.002107844359141</v>
      </c>
      <c r="N85" s="232">
        <f>N71+N83+N77+N82</f>
        <v>1626.5699999999997</v>
      </c>
      <c r="O85" s="232">
        <f>O71+O83+O77+O82+O84</f>
        <v>40.0600000000016</v>
      </c>
      <c r="P85" s="235">
        <f t="shared" si="22"/>
        <v>-1586.5099999999982</v>
      </c>
      <c r="Q85" s="235">
        <f>O85/N85*100</f>
        <v>2.462851275998058</v>
      </c>
      <c r="R85" s="28">
        <f>O85-8104.96</f>
        <v>-8064.899999999999</v>
      </c>
      <c r="S85" s="101">
        <f>O85/8104.96</f>
        <v>0.004942652400505567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766319.17</v>
      </c>
      <c r="F86" s="232">
        <f>F64+F85</f>
        <v>720798.4500000001</v>
      </c>
      <c r="G86" s="233">
        <f>F86-E86</f>
        <v>-45520.71999999997</v>
      </c>
      <c r="H86" s="234">
        <f>F86/E86*100</f>
        <v>94.05982235835233</v>
      </c>
      <c r="I86" s="235">
        <f>F86-D86</f>
        <v>-297354.28</v>
      </c>
      <c r="J86" s="235">
        <f>F86/D86*100</f>
        <v>70.79472742758348</v>
      </c>
      <c r="K86" s="235">
        <f>K64+K85</f>
        <v>515557.51</v>
      </c>
      <c r="L86" s="235">
        <f>F86-K86</f>
        <v>205240.94000000006</v>
      </c>
      <c r="M86" s="269">
        <f>F86/K86</f>
        <v>1.398095141703978</v>
      </c>
      <c r="N86" s="233">
        <f>N64+N85</f>
        <v>77756.70000000001</v>
      </c>
      <c r="O86" s="233">
        <f>O64+O85</f>
        <v>18625.799999999974</v>
      </c>
      <c r="P86" s="235">
        <f t="shared" si="22"/>
        <v>-59130.90000000004</v>
      </c>
      <c r="Q86" s="235">
        <f>O86/N86*100</f>
        <v>23.953948662944764</v>
      </c>
      <c r="R86" s="28">
        <f>O86-42872.96</f>
        <v>-24247.160000000025</v>
      </c>
      <c r="S86" s="101">
        <f>O86/42872.96</f>
        <v>0.4344416620639203</v>
      </c>
      <c r="T86" s="186">
        <f t="shared" si="23"/>
        <v>251833.56000000006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17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3384.9641176470604</v>
      </c>
      <c r="D89" s="4" t="s">
        <v>24</v>
      </c>
      <c r="G89" s="428"/>
      <c r="H89" s="428"/>
      <c r="I89" s="428"/>
      <c r="J89" s="428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42620</v>
      </c>
      <c r="D90" s="31">
        <v>6168.1</v>
      </c>
      <c r="G90" s="4" t="s">
        <v>59</v>
      </c>
      <c r="O90" s="420"/>
      <c r="P90" s="420"/>
      <c r="T90" s="186">
        <f t="shared" si="23"/>
        <v>6168.1</v>
      </c>
    </row>
    <row r="91" spans="3:16" ht="15">
      <c r="C91" s="87">
        <v>42619</v>
      </c>
      <c r="D91" s="31">
        <v>3927.5</v>
      </c>
      <c r="F91" s="124" t="s">
        <v>59</v>
      </c>
      <c r="G91" s="414"/>
      <c r="H91" s="414"/>
      <c r="I91" s="131"/>
      <c r="J91" s="417"/>
      <c r="K91" s="417"/>
      <c r="L91" s="417"/>
      <c r="M91" s="417"/>
      <c r="N91" s="417"/>
      <c r="O91" s="420"/>
      <c r="P91" s="420"/>
    </row>
    <row r="92" spans="3:16" ht="15.75" customHeight="1">
      <c r="C92" s="87">
        <v>42618</v>
      </c>
      <c r="D92" s="31">
        <v>2594</v>
      </c>
      <c r="F92" s="73"/>
      <c r="G92" s="414"/>
      <c r="H92" s="414"/>
      <c r="I92" s="131"/>
      <c r="J92" s="421"/>
      <c r="K92" s="421"/>
      <c r="L92" s="421"/>
      <c r="M92" s="421"/>
      <c r="N92" s="421"/>
      <c r="O92" s="420"/>
      <c r="P92" s="420"/>
    </row>
    <row r="93" spans="3:14" ht="15.75" customHeight="1">
      <c r="C93" s="87"/>
      <c r="F93" s="73"/>
      <c r="G93" s="416"/>
      <c r="H93" s="416"/>
      <c r="I93" s="139"/>
      <c r="J93" s="417"/>
      <c r="K93" s="417"/>
      <c r="L93" s="417"/>
      <c r="M93" s="417"/>
      <c r="N93" s="417"/>
    </row>
    <row r="94" spans="2:14" ht="18.75" customHeight="1">
      <c r="B94" s="418" t="s">
        <v>57</v>
      </c>
      <c r="C94" s="419"/>
      <c r="D94" s="148">
        <v>2126.61354</v>
      </c>
      <c r="E94" s="74"/>
      <c r="F94" s="140" t="s">
        <v>137</v>
      </c>
      <c r="G94" s="414"/>
      <c r="H94" s="414"/>
      <c r="I94" s="141"/>
      <c r="J94" s="417"/>
      <c r="K94" s="417"/>
      <c r="L94" s="417"/>
      <c r="M94" s="417"/>
      <c r="N94" s="417"/>
    </row>
    <row r="95" spans="6:13" ht="9.75" customHeight="1">
      <c r="F95" s="73"/>
      <c r="G95" s="414"/>
      <c r="H95" s="414"/>
      <c r="I95" s="73"/>
      <c r="J95" s="74"/>
      <c r="K95" s="74"/>
      <c r="L95" s="74"/>
      <c r="M95" s="74"/>
    </row>
    <row r="96" spans="2:13" ht="22.5" customHeight="1" hidden="1">
      <c r="B96" s="412" t="s">
        <v>60</v>
      </c>
      <c r="C96" s="413"/>
      <c r="D96" s="86">
        <v>0</v>
      </c>
      <c r="E96" s="56" t="s">
        <v>24</v>
      </c>
      <c r="F96" s="73"/>
      <c r="G96" s="414"/>
      <c r="H96" s="414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946</v>
      </c>
      <c r="F97" s="247">
        <f>F45+F48+F49</f>
        <v>541.57</v>
      </c>
      <c r="G97" s="73">
        <f>G45+G48+G49</f>
        <v>-404.43</v>
      </c>
      <c r="H97" s="74"/>
      <c r="I97" s="74"/>
      <c r="N97" s="31">
        <f>N45+N48+N49</f>
        <v>12</v>
      </c>
      <c r="O97" s="246">
        <f>O45+O48+O49</f>
        <v>29.75999999999999</v>
      </c>
      <c r="P97" s="31">
        <f>P45+P48+P49</f>
        <v>17.75999999999999</v>
      </c>
    </row>
    <row r="98" spans="4:16" ht="15">
      <c r="D98" s="83"/>
      <c r="I98" s="31"/>
      <c r="O98" s="415"/>
      <c r="P98" s="415"/>
    </row>
    <row r="99" spans="15:16" ht="15">
      <c r="O99" s="414"/>
      <c r="P99" s="414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" right="0" top="0" bottom="0" header="0" footer="0"/>
  <pageSetup fitToHeight="2" fitToWidth="1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5" t="s">
        <v>114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92"/>
      <c r="R1" s="93"/>
    </row>
    <row r="2" spans="2:18" s="1" customFormat="1" ht="15.75" customHeight="1">
      <c r="B2" s="454"/>
      <c r="C2" s="454"/>
      <c r="D2" s="454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37"/>
      <c r="B3" s="439" t="s">
        <v>136</v>
      </c>
      <c r="C3" s="440" t="s">
        <v>0</v>
      </c>
      <c r="D3" s="441" t="s">
        <v>115</v>
      </c>
      <c r="E3" s="34"/>
      <c r="F3" s="442" t="s">
        <v>26</v>
      </c>
      <c r="G3" s="443"/>
      <c r="H3" s="443"/>
      <c r="I3" s="443"/>
      <c r="J3" s="444"/>
      <c r="K3" s="89"/>
      <c r="L3" s="89"/>
      <c r="M3" s="455" t="s">
        <v>107</v>
      </c>
      <c r="N3" s="446" t="s">
        <v>66</v>
      </c>
      <c r="O3" s="446"/>
      <c r="P3" s="446"/>
      <c r="Q3" s="446"/>
      <c r="R3" s="446"/>
    </row>
    <row r="4" spans="1:18" ht="22.5" customHeight="1">
      <c r="A4" s="437"/>
      <c r="B4" s="439"/>
      <c r="C4" s="440"/>
      <c r="D4" s="441"/>
      <c r="E4" s="447" t="s">
        <v>104</v>
      </c>
      <c r="F4" s="458" t="s">
        <v>34</v>
      </c>
      <c r="G4" s="422" t="s">
        <v>109</v>
      </c>
      <c r="H4" s="431" t="s">
        <v>110</v>
      </c>
      <c r="I4" s="422" t="s">
        <v>105</v>
      </c>
      <c r="J4" s="431" t="s">
        <v>106</v>
      </c>
      <c r="K4" s="91" t="s">
        <v>65</v>
      </c>
      <c r="L4" s="96" t="s">
        <v>64</v>
      </c>
      <c r="M4" s="431"/>
      <c r="N4" s="456" t="s">
        <v>103</v>
      </c>
      <c r="O4" s="422" t="s">
        <v>50</v>
      </c>
      <c r="P4" s="424" t="s">
        <v>49</v>
      </c>
      <c r="Q4" s="97" t="s">
        <v>65</v>
      </c>
      <c r="R4" s="98" t="s">
        <v>64</v>
      </c>
    </row>
    <row r="5" spans="1:18" ht="76.5" customHeight="1">
      <c r="A5" s="438"/>
      <c r="B5" s="439"/>
      <c r="C5" s="440"/>
      <c r="D5" s="441"/>
      <c r="E5" s="448"/>
      <c r="F5" s="459"/>
      <c r="G5" s="423"/>
      <c r="H5" s="432"/>
      <c r="I5" s="423"/>
      <c r="J5" s="432"/>
      <c r="K5" s="425" t="s">
        <v>108</v>
      </c>
      <c r="L5" s="427"/>
      <c r="M5" s="432"/>
      <c r="N5" s="457"/>
      <c r="O5" s="423"/>
      <c r="P5" s="424"/>
      <c r="Q5" s="425" t="s">
        <v>126</v>
      </c>
      <c r="R5" s="42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28"/>
      <c r="H82" s="428"/>
      <c r="I82" s="428"/>
      <c r="J82" s="428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20"/>
      <c r="O83" s="420"/>
    </row>
    <row r="84" spans="3:15" ht="15">
      <c r="C84" s="87">
        <v>42397</v>
      </c>
      <c r="D84" s="31">
        <v>8685</v>
      </c>
      <c r="F84" s="166" t="s">
        <v>59</v>
      </c>
      <c r="G84" s="414"/>
      <c r="H84" s="414"/>
      <c r="I84" s="131"/>
      <c r="J84" s="417"/>
      <c r="K84" s="417"/>
      <c r="L84" s="417"/>
      <c r="M84" s="417"/>
      <c r="N84" s="420"/>
      <c r="O84" s="420"/>
    </row>
    <row r="85" spans="3:15" ht="15.75" customHeight="1">
      <c r="C85" s="87">
        <v>42396</v>
      </c>
      <c r="D85" s="31">
        <v>4820.3</v>
      </c>
      <c r="F85" s="167"/>
      <c r="G85" s="414"/>
      <c r="H85" s="414"/>
      <c r="I85" s="131"/>
      <c r="J85" s="421"/>
      <c r="K85" s="421"/>
      <c r="L85" s="421"/>
      <c r="M85" s="421"/>
      <c r="N85" s="420"/>
      <c r="O85" s="420"/>
    </row>
    <row r="86" spans="3:13" ht="15.75" customHeight="1">
      <c r="C86" s="87"/>
      <c r="F86" s="167"/>
      <c r="G86" s="416"/>
      <c r="H86" s="416"/>
      <c r="I86" s="139"/>
      <c r="J86" s="417"/>
      <c r="K86" s="417"/>
      <c r="L86" s="417"/>
      <c r="M86" s="417"/>
    </row>
    <row r="87" spans="2:13" ht="18.75" customHeight="1">
      <c r="B87" s="418" t="s">
        <v>57</v>
      </c>
      <c r="C87" s="419"/>
      <c r="D87" s="148">
        <v>300.92</v>
      </c>
      <c r="E87" s="74"/>
      <c r="F87" s="168"/>
      <c r="G87" s="414"/>
      <c r="H87" s="414"/>
      <c r="I87" s="141"/>
      <c r="J87" s="417"/>
      <c r="K87" s="417"/>
      <c r="L87" s="417"/>
      <c r="M87" s="417"/>
    </row>
    <row r="88" spans="6:12" ht="9.75" customHeight="1">
      <c r="F88" s="167"/>
      <c r="G88" s="414"/>
      <c r="H88" s="414"/>
      <c r="I88" s="73"/>
      <c r="J88" s="74"/>
      <c r="K88" s="74"/>
      <c r="L88" s="74"/>
    </row>
    <row r="89" spans="2:12" ht="22.5" customHeight="1" hidden="1">
      <c r="B89" s="412" t="s">
        <v>60</v>
      </c>
      <c r="C89" s="413"/>
      <c r="D89" s="86">
        <v>0</v>
      </c>
      <c r="E89" s="56" t="s">
        <v>24</v>
      </c>
      <c r="F89" s="167"/>
      <c r="G89" s="414"/>
      <c r="H89" s="414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14"/>
      <c r="O90" s="414"/>
    </row>
    <row r="91" spans="4:15" ht="15">
      <c r="D91" s="83"/>
      <c r="I91" s="31"/>
      <c r="N91" s="415"/>
      <c r="O91" s="415"/>
    </row>
    <row r="92" spans="14:15" ht="15">
      <c r="N92" s="414"/>
      <c r="O92" s="414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5" t="s">
        <v>196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92"/>
      <c r="S1" s="93"/>
    </row>
    <row r="2" spans="2:19" s="1" customFormat="1" ht="15.75" customHeight="1">
      <c r="B2" s="436"/>
      <c r="C2" s="436"/>
      <c r="D2" s="436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7"/>
      <c r="B3" s="439"/>
      <c r="C3" s="440" t="s">
        <v>0</v>
      </c>
      <c r="D3" s="441" t="s">
        <v>121</v>
      </c>
      <c r="E3" s="34"/>
      <c r="F3" s="442" t="s">
        <v>26</v>
      </c>
      <c r="G3" s="443"/>
      <c r="H3" s="443"/>
      <c r="I3" s="443"/>
      <c r="J3" s="444"/>
      <c r="K3" s="89"/>
      <c r="L3" s="89"/>
      <c r="M3" s="89"/>
      <c r="N3" s="445" t="s">
        <v>193</v>
      </c>
      <c r="O3" s="446" t="s">
        <v>194</v>
      </c>
      <c r="P3" s="446"/>
      <c r="Q3" s="446"/>
      <c r="R3" s="446"/>
      <c r="S3" s="446"/>
    </row>
    <row r="4" spans="1:19" ht="22.5" customHeight="1">
      <c r="A4" s="437"/>
      <c r="B4" s="439"/>
      <c r="C4" s="440"/>
      <c r="D4" s="441"/>
      <c r="E4" s="447" t="s">
        <v>190</v>
      </c>
      <c r="F4" s="429" t="s">
        <v>34</v>
      </c>
      <c r="G4" s="422" t="s">
        <v>191</v>
      </c>
      <c r="H4" s="431" t="s">
        <v>192</v>
      </c>
      <c r="I4" s="422" t="s">
        <v>122</v>
      </c>
      <c r="J4" s="431" t="s">
        <v>123</v>
      </c>
      <c r="K4" s="91" t="s">
        <v>186</v>
      </c>
      <c r="L4" s="249" t="s">
        <v>185</v>
      </c>
      <c r="M4" s="96" t="s">
        <v>64</v>
      </c>
      <c r="N4" s="431"/>
      <c r="O4" s="433" t="s">
        <v>197</v>
      </c>
      <c r="P4" s="422" t="s">
        <v>50</v>
      </c>
      <c r="Q4" s="424" t="s">
        <v>49</v>
      </c>
      <c r="R4" s="97" t="s">
        <v>65</v>
      </c>
      <c r="S4" s="98" t="s">
        <v>64</v>
      </c>
    </row>
    <row r="5" spans="1:19" ht="67.5" customHeight="1">
      <c r="A5" s="438"/>
      <c r="B5" s="439"/>
      <c r="C5" s="440"/>
      <c r="D5" s="441"/>
      <c r="E5" s="448"/>
      <c r="F5" s="430"/>
      <c r="G5" s="423"/>
      <c r="H5" s="432"/>
      <c r="I5" s="423"/>
      <c r="J5" s="432"/>
      <c r="K5" s="425" t="s">
        <v>195</v>
      </c>
      <c r="L5" s="426"/>
      <c r="M5" s="427"/>
      <c r="N5" s="432"/>
      <c r="O5" s="434"/>
      <c r="P5" s="423"/>
      <c r="Q5" s="424"/>
      <c r="R5" s="425" t="s">
        <v>120</v>
      </c>
      <c r="S5" s="427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867.1</v>
      </c>
      <c r="G59" s="202"/>
      <c r="H59" s="204"/>
      <c r="I59" s="205"/>
      <c r="J59" s="205"/>
      <c r="K59" s="206">
        <v>890.52</v>
      </c>
      <c r="L59" s="205">
        <f t="shared" si="18"/>
        <v>-23.41999999999996</v>
      </c>
      <c r="M59" s="266">
        <f t="shared" si="17"/>
        <v>0.9737007591070387</v>
      </c>
      <c r="N59" s="236"/>
      <c r="O59" s="220">
        <f>F59-липень!F59</f>
        <v>135.64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-49.19</v>
      </c>
      <c r="L70" s="207">
        <f>F70-K70</f>
        <v>45.36</v>
      </c>
      <c r="M70" s="254">
        <f>F70/K70</f>
        <v>0.07786135393372637</v>
      </c>
      <c r="N70" s="204"/>
      <c r="O70" s="223">
        <f>F70-липень!F70</f>
        <v>-1.5300000000000002</v>
      </c>
      <c r="P70" s="207">
        <f>O70-N70</f>
        <v>-1.5300000000000002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-49.19</v>
      </c>
      <c r="L71" s="228">
        <f>F71-K71</f>
        <v>45.37</v>
      </c>
      <c r="M71" s="260">
        <f>F71/K71</f>
        <v>0.077658060581419</v>
      </c>
      <c r="N71" s="226">
        <f>N70</f>
        <v>0</v>
      </c>
      <c r="O71" s="229">
        <f>SUM(O69:O70)</f>
        <v>-1.5300000000000002</v>
      </c>
      <c r="P71" s="228">
        <f>O71-N71</f>
        <v>-1.5300000000000002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1535.17</v>
      </c>
      <c r="G73" s="202">
        <f aca="true" t="shared" si="19" ref="G73:G83">F73-E73</f>
        <v>-664.8299999999999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E73-липень!E73</f>
        <v>400</v>
      </c>
      <c r="O73" s="208">
        <f>F73-липень!F73</f>
        <v>0.11000000000012733</v>
      </c>
      <c r="P73" s="207">
        <f aca="true" t="shared" si="22" ref="P73:P86">O73-N73</f>
        <v>-399.8899999999999</v>
      </c>
      <c r="Q73" s="207">
        <f>O73/N73*100</f>
        <v>0.027500000000031832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10477.14</v>
      </c>
      <c r="G75" s="202">
        <f t="shared" si="19"/>
        <v>8080.289999999999</v>
      </c>
      <c r="H75" s="204">
        <f>F75/E75*100</f>
        <v>437.1212216033544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E75-липень!E75</f>
        <v>302</v>
      </c>
      <c r="O75" s="208">
        <f>F75-липень!F75</f>
        <v>967.4499999999989</v>
      </c>
      <c r="P75" s="207">
        <f t="shared" si="22"/>
        <v>665.4499999999989</v>
      </c>
      <c r="Q75" s="207">
        <f>O75/N75*100</f>
        <v>320.34768211920493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18801.84</v>
      </c>
      <c r="G77" s="226">
        <f t="shared" si="19"/>
        <v>10319.78</v>
      </c>
      <c r="H77" s="227">
        <f>F77/E77*100</f>
        <v>221.66596322119864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1252.9</v>
      </c>
      <c r="O77" s="230">
        <f>O73+O74+O75+O76</f>
        <v>999.5899999999988</v>
      </c>
      <c r="P77" s="228">
        <f t="shared" si="22"/>
        <v>-253.3100000000013</v>
      </c>
      <c r="Q77" s="228">
        <f>O77/N77*100</f>
        <v>79.78210551520462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E81-липень!E81</f>
        <v>0</v>
      </c>
      <c r="O81" s="208">
        <f>F81-липень!F81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6831.59</v>
      </c>
      <c r="G82" s="224">
        <f>G78+G81+G79+G80</f>
        <v>-792.0100000000004</v>
      </c>
      <c r="H82" s="227">
        <f>F82/E82*100</f>
        <v>89.61107613201112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2496.3</v>
      </c>
      <c r="O82" s="230">
        <f>O78+O81+O79+O80</f>
        <v>1923.12</v>
      </c>
      <c r="P82" s="226">
        <f>P78+P81+P79+P80</f>
        <v>-573.1800000000004</v>
      </c>
      <c r="Q82" s="228">
        <f>O82/N82*100</f>
        <v>77.03881744982574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19.38</v>
      </c>
      <c r="G83" s="202">
        <f t="shared" si="19"/>
        <v>-1.4200000000000017</v>
      </c>
      <c r="H83" s="204">
        <f>F83/E83*100</f>
        <v>93.17307692307692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E83-липень!E83</f>
        <v>0.5</v>
      </c>
      <c r="O83" s="208">
        <f>F83-липень!F83</f>
        <v>0.6199999999999974</v>
      </c>
      <c r="P83" s="207">
        <f t="shared" si="22"/>
        <v>0.11999999999999744</v>
      </c>
      <c r="Q83" s="207">
        <f>O83/N83</f>
        <v>1.2399999999999949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25648.99</v>
      </c>
      <c r="G85" s="233">
        <f>F85-E85</f>
        <v>9522.530000000002</v>
      </c>
      <c r="H85" s="234">
        <f>F85/E85*100</f>
        <v>159.04910315097055</v>
      </c>
      <c r="I85" s="235">
        <f>F85-D85</f>
        <v>-1566.0099999999984</v>
      </c>
      <c r="J85" s="235">
        <f>F85/D85*100</f>
        <v>94.24578357523426</v>
      </c>
      <c r="K85" s="235">
        <v>6163.42</v>
      </c>
      <c r="L85" s="235">
        <f>F85-K85</f>
        <v>19485.57</v>
      </c>
      <c r="M85" s="269">
        <f>F85/K85</f>
        <v>4.161486642156465</v>
      </c>
      <c r="N85" s="232">
        <f>N71+N83+N77+N82</f>
        <v>3749.7000000000003</v>
      </c>
      <c r="O85" s="232">
        <f>O71+O83+O77+O82+O84</f>
        <v>2921.799999999999</v>
      </c>
      <c r="P85" s="235">
        <f t="shared" si="22"/>
        <v>-827.9000000000015</v>
      </c>
      <c r="Q85" s="235">
        <f>O85/N85*100</f>
        <v>77.92090033869373</v>
      </c>
      <c r="R85" s="28">
        <f>O85-8104.96</f>
        <v>-5183.160000000002</v>
      </c>
      <c r="S85" s="101">
        <f>O85/8104.96</f>
        <v>0.3604953016424509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702172.62</v>
      </c>
      <c r="G86" s="233">
        <f>F86-E86</f>
        <v>13610.150000000023</v>
      </c>
      <c r="H86" s="234">
        <f>F86/E86*100</f>
        <v>101.97660351717978</v>
      </c>
      <c r="I86" s="235">
        <f>F86-D86</f>
        <v>-315980.1100000001</v>
      </c>
      <c r="J86" s="235">
        <f>F86/D86*100</f>
        <v>68.96535257534495</v>
      </c>
      <c r="K86" s="235">
        <f>K64+K85</f>
        <v>457297.61</v>
      </c>
      <c r="L86" s="235">
        <f>F86-K86</f>
        <v>244875.01</v>
      </c>
      <c r="M86" s="269">
        <f>F86/K86</f>
        <v>1.5354828117295432</v>
      </c>
      <c r="N86" s="233">
        <f>N64+N85</f>
        <v>152224.89999999997</v>
      </c>
      <c r="O86" s="233">
        <f>O64+O85</f>
        <v>98837.63999999997</v>
      </c>
      <c r="P86" s="235">
        <f t="shared" si="22"/>
        <v>-53387.259999999995</v>
      </c>
      <c r="Q86" s="235">
        <f>O86/N86*100</f>
        <v>64.92869432004882</v>
      </c>
      <c r="R86" s="28">
        <f>O86-42872.96</f>
        <v>55964.67999999997</v>
      </c>
      <c r="S86" s="101">
        <f>O86/42872.96</f>
        <v>2.305360768185821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28"/>
      <c r="H89" s="428"/>
      <c r="I89" s="428"/>
      <c r="J89" s="428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20"/>
      <c r="P90" s="420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14"/>
      <c r="H91" s="414"/>
      <c r="I91" s="131"/>
      <c r="J91" s="417"/>
      <c r="K91" s="417"/>
      <c r="L91" s="417"/>
      <c r="M91" s="417"/>
      <c r="N91" s="417"/>
      <c r="O91" s="420"/>
      <c r="P91" s="420"/>
    </row>
    <row r="92" spans="3:16" ht="15.75" customHeight="1">
      <c r="C92" s="87">
        <v>42611</v>
      </c>
      <c r="D92" s="31">
        <v>8603.9</v>
      </c>
      <c r="F92" s="73"/>
      <c r="G92" s="414"/>
      <c r="H92" s="414"/>
      <c r="I92" s="131"/>
      <c r="J92" s="421"/>
      <c r="K92" s="421"/>
      <c r="L92" s="421"/>
      <c r="M92" s="421"/>
      <c r="N92" s="421"/>
      <c r="O92" s="420"/>
      <c r="P92" s="420"/>
    </row>
    <row r="93" spans="3:14" ht="15.75" customHeight="1">
      <c r="C93" s="87"/>
      <c r="F93" s="73"/>
      <c r="G93" s="416"/>
      <c r="H93" s="416"/>
      <c r="I93" s="139"/>
      <c r="J93" s="417"/>
      <c r="K93" s="417"/>
      <c r="L93" s="417"/>
      <c r="M93" s="417"/>
      <c r="N93" s="417"/>
    </row>
    <row r="94" spans="2:14" ht="18" customHeight="1">
      <c r="B94" s="418" t="s">
        <v>57</v>
      </c>
      <c r="C94" s="419"/>
      <c r="D94" s="148">
        <f>'[1]залишки  (2)'!$G$6/1000</f>
        <v>2126.61354</v>
      </c>
      <c r="E94" s="74"/>
      <c r="F94" s="140" t="s">
        <v>137</v>
      </c>
      <c r="G94" s="414"/>
      <c r="H94" s="414"/>
      <c r="I94" s="141"/>
      <c r="J94" s="417"/>
      <c r="K94" s="417"/>
      <c r="L94" s="417"/>
      <c r="M94" s="417"/>
      <c r="N94" s="417"/>
    </row>
    <row r="95" spans="6:13" ht="9.75" customHeight="1">
      <c r="F95" s="73"/>
      <c r="G95" s="414"/>
      <c r="H95" s="414"/>
      <c r="I95" s="73"/>
      <c r="J95" s="74"/>
      <c r="K95" s="74"/>
      <c r="L95" s="74"/>
      <c r="M95" s="74"/>
    </row>
    <row r="96" spans="2:13" ht="22.5" customHeight="1" hidden="1">
      <c r="B96" s="412" t="s">
        <v>60</v>
      </c>
      <c r="C96" s="413"/>
      <c r="D96" s="86">
        <v>0</v>
      </c>
      <c r="E96" s="56" t="s">
        <v>24</v>
      </c>
      <c r="F96" s="73"/>
      <c r="G96" s="414"/>
      <c r="H96" s="414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15"/>
      <c r="P98" s="415"/>
    </row>
    <row r="99" spans="15:16" ht="15">
      <c r="O99" s="414"/>
      <c r="P99" s="414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5748031496062992" right="0.15748031496062992" top="0" bottom="0" header="0" footer="0"/>
  <pageSetup fitToHeight="1" fitToWidth="1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9" sqref="F5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5" t="s">
        <v>188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92"/>
      <c r="S1" s="93"/>
    </row>
    <row r="2" spans="2:19" s="1" customFormat="1" ht="15.75" customHeight="1">
      <c r="B2" s="436"/>
      <c r="C2" s="436"/>
      <c r="D2" s="436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37"/>
      <c r="B3" s="439"/>
      <c r="C3" s="440" t="s">
        <v>0</v>
      </c>
      <c r="D3" s="441" t="s">
        <v>121</v>
      </c>
      <c r="E3" s="34"/>
      <c r="F3" s="442" t="s">
        <v>26</v>
      </c>
      <c r="G3" s="443"/>
      <c r="H3" s="443"/>
      <c r="I3" s="443"/>
      <c r="J3" s="444"/>
      <c r="K3" s="89"/>
      <c r="L3" s="89"/>
      <c r="M3" s="89"/>
      <c r="N3" s="445" t="s">
        <v>183</v>
      </c>
      <c r="O3" s="446" t="s">
        <v>184</v>
      </c>
      <c r="P3" s="446"/>
      <c r="Q3" s="446"/>
      <c r="R3" s="446"/>
      <c r="S3" s="446"/>
    </row>
    <row r="4" spans="1:19" ht="22.5" customHeight="1">
      <c r="A4" s="437"/>
      <c r="B4" s="439"/>
      <c r="C4" s="440"/>
      <c r="D4" s="441"/>
      <c r="E4" s="447" t="s">
        <v>179</v>
      </c>
      <c r="F4" s="429" t="s">
        <v>34</v>
      </c>
      <c r="G4" s="422" t="s">
        <v>180</v>
      </c>
      <c r="H4" s="431" t="s">
        <v>181</v>
      </c>
      <c r="I4" s="422" t="s">
        <v>122</v>
      </c>
      <c r="J4" s="431" t="s">
        <v>123</v>
      </c>
      <c r="K4" s="91" t="s">
        <v>186</v>
      </c>
      <c r="L4" s="249" t="s">
        <v>185</v>
      </c>
      <c r="M4" s="96" t="s">
        <v>64</v>
      </c>
      <c r="N4" s="431"/>
      <c r="O4" s="433" t="s">
        <v>189</v>
      </c>
      <c r="P4" s="422" t="s">
        <v>50</v>
      </c>
      <c r="Q4" s="424" t="s">
        <v>49</v>
      </c>
      <c r="R4" s="97" t="s">
        <v>65</v>
      </c>
      <c r="S4" s="98" t="s">
        <v>64</v>
      </c>
    </row>
    <row r="5" spans="1:19" ht="67.5" customHeight="1">
      <c r="A5" s="438"/>
      <c r="B5" s="439"/>
      <c r="C5" s="440"/>
      <c r="D5" s="441"/>
      <c r="E5" s="448"/>
      <c r="F5" s="430"/>
      <c r="G5" s="423"/>
      <c r="H5" s="432"/>
      <c r="I5" s="423"/>
      <c r="J5" s="432"/>
      <c r="K5" s="425" t="s">
        <v>182</v>
      </c>
      <c r="L5" s="426"/>
      <c r="M5" s="427"/>
      <c r="N5" s="432"/>
      <c r="O5" s="434"/>
      <c r="P5" s="423"/>
      <c r="Q5" s="424"/>
      <c r="R5" s="425" t="s">
        <v>120</v>
      </c>
      <c r="S5" s="427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731.46</v>
      </c>
      <c r="G59" s="202"/>
      <c r="H59" s="204"/>
      <c r="I59" s="205"/>
      <c r="J59" s="205"/>
      <c r="K59" s="206">
        <v>683.21</v>
      </c>
      <c r="L59" s="205">
        <f t="shared" si="24"/>
        <v>48.25</v>
      </c>
      <c r="M59" s="266">
        <f t="shared" si="25"/>
        <v>1.0706225025980298</v>
      </c>
      <c r="N59" s="236"/>
      <c r="O59" s="220">
        <f>F59-червень!F58</f>
        <v>139.20000000000005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28"/>
      <c r="H89" s="428"/>
      <c r="I89" s="428"/>
      <c r="J89" s="428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20"/>
      <c r="P90" s="420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14"/>
      <c r="H91" s="414"/>
      <c r="I91" s="131"/>
      <c r="J91" s="417"/>
      <c r="K91" s="417"/>
      <c r="L91" s="417"/>
      <c r="M91" s="417"/>
      <c r="N91" s="417"/>
      <c r="O91" s="420"/>
      <c r="P91" s="420"/>
    </row>
    <row r="92" spans="3:16" ht="15.75" customHeight="1">
      <c r="C92" s="87">
        <v>42578</v>
      </c>
      <c r="D92" s="31">
        <v>8357.1</v>
      </c>
      <c r="F92" s="73"/>
      <c r="G92" s="414"/>
      <c r="H92" s="414"/>
      <c r="I92" s="131"/>
      <c r="J92" s="421"/>
      <c r="K92" s="421"/>
      <c r="L92" s="421"/>
      <c r="M92" s="421"/>
      <c r="N92" s="421"/>
      <c r="O92" s="420"/>
      <c r="P92" s="420"/>
    </row>
    <row r="93" spans="3:14" ht="15.75" customHeight="1">
      <c r="C93" s="87"/>
      <c r="F93" s="73"/>
      <c r="G93" s="416"/>
      <c r="H93" s="416"/>
      <c r="I93" s="139"/>
      <c r="J93" s="417"/>
      <c r="K93" s="417"/>
      <c r="L93" s="417"/>
      <c r="M93" s="417"/>
      <c r="N93" s="417"/>
    </row>
    <row r="94" spans="2:14" ht="18.75" customHeight="1">
      <c r="B94" s="418" t="s">
        <v>57</v>
      </c>
      <c r="C94" s="419"/>
      <c r="D94" s="148">
        <v>14372.98265</v>
      </c>
      <c r="E94" s="74"/>
      <c r="F94" s="140" t="s">
        <v>137</v>
      </c>
      <c r="G94" s="414"/>
      <c r="H94" s="414"/>
      <c r="I94" s="141"/>
      <c r="J94" s="417"/>
      <c r="K94" s="417"/>
      <c r="L94" s="417"/>
      <c r="M94" s="417"/>
      <c r="N94" s="417"/>
    </row>
    <row r="95" spans="6:13" ht="9.75" customHeight="1" hidden="1">
      <c r="F95" s="73"/>
      <c r="G95" s="414"/>
      <c r="H95" s="414"/>
      <c r="I95" s="73"/>
      <c r="J95" s="74"/>
      <c r="K95" s="74"/>
      <c r="L95" s="74"/>
      <c r="M95" s="74"/>
    </row>
    <row r="96" spans="2:13" ht="22.5" customHeight="1" hidden="1">
      <c r="B96" s="412" t="s">
        <v>60</v>
      </c>
      <c r="C96" s="413"/>
      <c r="D96" s="86">
        <v>0</v>
      </c>
      <c r="E96" s="56" t="s">
        <v>24</v>
      </c>
      <c r="F96" s="73"/>
      <c r="G96" s="414"/>
      <c r="H96" s="414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15"/>
      <c r="P98" s="415"/>
    </row>
    <row r="99" spans="15:16" ht="15">
      <c r="O99" s="414"/>
      <c r="P99" s="414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1" sqref="F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49" t="s">
        <v>177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37"/>
      <c r="B3" s="439"/>
      <c r="C3" s="440" t="s">
        <v>0</v>
      </c>
      <c r="D3" s="441" t="s">
        <v>121</v>
      </c>
      <c r="E3" s="34"/>
      <c r="F3" s="442" t="s">
        <v>26</v>
      </c>
      <c r="G3" s="443"/>
      <c r="H3" s="443"/>
      <c r="I3" s="443"/>
      <c r="J3" s="444"/>
      <c r="K3" s="89"/>
      <c r="L3" s="89"/>
      <c r="M3" s="445" t="s">
        <v>172</v>
      </c>
      <c r="N3" s="424" t="s">
        <v>173</v>
      </c>
      <c r="O3" s="424"/>
      <c r="P3" s="424"/>
      <c r="Q3" s="424"/>
      <c r="R3" s="424"/>
    </row>
    <row r="4" spans="1:18" ht="22.5" customHeight="1">
      <c r="A4" s="437"/>
      <c r="B4" s="439"/>
      <c r="C4" s="440"/>
      <c r="D4" s="441"/>
      <c r="E4" s="447" t="s">
        <v>170</v>
      </c>
      <c r="F4" s="450" t="s">
        <v>34</v>
      </c>
      <c r="G4" s="422" t="s">
        <v>171</v>
      </c>
      <c r="H4" s="431" t="s">
        <v>175</v>
      </c>
      <c r="I4" s="422" t="s">
        <v>122</v>
      </c>
      <c r="J4" s="431" t="s">
        <v>123</v>
      </c>
      <c r="K4" s="248" t="s">
        <v>65</v>
      </c>
      <c r="L4" s="283" t="s">
        <v>64</v>
      </c>
      <c r="M4" s="431"/>
      <c r="N4" s="433" t="s">
        <v>178</v>
      </c>
      <c r="O4" s="422" t="s">
        <v>50</v>
      </c>
      <c r="P4" s="424" t="s">
        <v>49</v>
      </c>
      <c r="Q4" s="284" t="s">
        <v>65</v>
      </c>
      <c r="R4" s="285" t="s">
        <v>64</v>
      </c>
    </row>
    <row r="5" spans="1:18" ht="67.5" customHeight="1">
      <c r="A5" s="438"/>
      <c r="B5" s="439"/>
      <c r="C5" s="440"/>
      <c r="D5" s="441"/>
      <c r="E5" s="448"/>
      <c r="F5" s="451"/>
      <c r="G5" s="423"/>
      <c r="H5" s="432"/>
      <c r="I5" s="423"/>
      <c r="J5" s="432"/>
      <c r="K5" s="425" t="s">
        <v>174</v>
      </c>
      <c r="L5" s="427"/>
      <c r="M5" s="432"/>
      <c r="N5" s="434"/>
      <c r="O5" s="423"/>
      <c r="P5" s="424"/>
      <c r="Q5" s="425" t="s">
        <v>120</v>
      </c>
      <c r="R5" s="42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f>591.66+0.6</f>
        <v>592.26</v>
      </c>
      <c r="G58" s="310"/>
      <c r="H58" s="311"/>
      <c r="I58" s="312"/>
      <c r="J58" s="312"/>
      <c r="K58" s="313">
        <f>F58-577.4</f>
        <v>14.860000000000014</v>
      </c>
      <c r="L58" s="313">
        <f>F58/577.4*100</f>
        <v>102.57360581918947</v>
      </c>
      <c r="M58" s="341"/>
      <c r="N58" s="342">
        <f>F58-травень!F58</f>
        <v>113.58999999999997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18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8"/>
      <c r="H88" s="428"/>
      <c r="I88" s="428"/>
      <c r="J88" s="428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20"/>
      <c r="O89" s="420"/>
    </row>
    <row r="90" spans="3:15" ht="15">
      <c r="C90" s="87">
        <v>42550</v>
      </c>
      <c r="D90" s="31">
        <v>11029.3</v>
      </c>
      <c r="F90" s="124" t="s">
        <v>59</v>
      </c>
      <c r="G90" s="414"/>
      <c r="H90" s="414"/>
      <c r="I90" s="131"/>
      <c r="J90" s="417"/>
      <c r="K90" s="417"/>
      <c r="L90" s="417"/>
      <c r="M90" s="417"/>
      <c r="N90" s="420"/>
      <c r="O90" s="420"/>
    </row>
    <row r="91" spans="3:15" ht="15.75" customHeight="1">
      <c r="C91" s="87">
        <v>42545</v>
      </c>
      <c r="D91" s="31">
        <v>6499.7</v>
      </c>
      <c r="F91" s="73"/>
      <c r="G91" s="414"/>
      <c r="H91" s="414"/>
      <c r="I91" s="131"/>
      <c r="J91" s="421"/>
      <c r="K91" s="421"/>
      <c r="L91" s="421"/>
      <c r="M91" s="421"/>
      <c r="N91" s="420"/>
      <c r="O91" s="420"/>
    </row>
    <row r="92" spans="3:13" ht="15.75" customHeight="1">
      <c r="C92" s="87"/>
      <c r="F92" s="73"/>
      <c r="G92" s="416"/>
      <c r="H92" s="416"/>
      <c r="I92" s="139"/>
      <c r="J92" s="417"/>
      <c r="K92" s="417"/>
      <c r="L92" s="417"/>
      <c r="M92" s="417"/>
    </row>
    <row r="93" spans="2:13" ht="18.75" customHeight="1">
      <c r="B93" s="418" t="s">
        <v>57</v>
      </c>
      <c r="C93" s="419"/>
      <c r="D93" s="148">
        <v>9447.89588</v>
      </c>
      <c r="E93" s="74"/>
      <c r="F93" s="140" t="s">
        <v>137</v>
      </c>
      <c r="G93" s="414"/>
      <c r="H93" s="414"/>
      <c r="I93" s="141"/>
      <c r="J93" s="417"/>
      <c r="K93" s="417"/>
      <c r="L93" s="417"/>
      <c r="M93" s="417"/>
    </row>
    <row r="94" spans="6:12" ht="9.75" customHeight="1">
      <c r="F94" s="73"/>
      <c r="G94" s="414"/>
      <c r="H94" s="414"/>
      <c r="I94" s="73"/>
      <c r="J94" s="74"/>
      <c r="K94" s="74"/>
      <c r="L94" s="74"/>
    </row>
    <row r="95" spans="2:12" ht="22.5" customHeight="1">
      <c r="B95" s="412" t="s">
        <v>60</v>
      </c>
      <c r="C95" s="413"/>
      <c r="D95" s="86">
        <v>0</v>
      </c>
      <c r="E95" s="56" t="s">
        <v>24</v>
      </c>
      <c r="F95" s="73"/>
      <c r="G95" s="414"/>
      <c r="H95" s="414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15"/>
      <c r="O97" s="415"/>
    </row>
    <row r="98" spans="14:15" ht="15">
      <c r="N98" s="414"/>
      <c r="O98" s="414"/>
    </row>
    <row r="99" ht="15">
      <c r="N99" s="31"/>
    </row>
    <row r="102" ht="15">
      <c r="E102" s="4" t="s">
        <v>59</v>
      </c>
    </row>
  </sheetData>
  <sheetProtection/>
  <mergeCells count="37">
    <mergeCell ref="Q5:R5"/>
    <mergeCell ref="E4:E5"/>
    <mergeCell ref="F4:F5"/>
    <mergeCell ref="I4:I5"/>
    <mergeCell ref="J4:J5"/>
    <mergeCell ref="N4:N5"/>
    <mergeCell ref="O4:O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G88:J88"/>
    <mergeCell ref="N89:O89"/>
    <mergeCell ref="G90:H90"/>
    <mergeCell ref="J90:M90"/>
    <mergeCell ref="N90:O90"/>
    <mergeCell ref="G4:G5"/>
    <mergeCell ref="H4:H5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1968503937007874" right="0.1968503937007874" top="0.1968503937007874" bottom="0.1968503937007874" header="0" footer="0"/>
  <pageSetup fitToHeight="1" fitToWidth="1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0" sqref="G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5" t="s">
        <v>168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92"/>
      <c r="R1" s="93"/>
    </row>
    <row r="2" spans="2:18" s="1" customFormat="1" ht="15.75" customHeight="1">
      <c r="B2" s="454"/>
      <c r="C2" s="454"/>
      <c r="D2" s="45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7"/>
      <c r="B3" s="439"/>
      <c r="C3" s="440" t="s">
        <v>0</v>
      </c>
      <c r="D3" s="441" t="s">
        <v>121</v>
      </c>
      <c r="E3" s="34"/>
      <c r="F3" s="442" t="s">
        <v>26</v>
      </c>
      <c r="G3" s="443"/>
      <c r="H3" s="443"/>
      <c r="I3" s="443"/>
      <c r="J3" s="444"/>
      <c r="K3" s="89"/>
      <c r="L3" s="89"/>
      <c r="M3" s="445" t="s">
        <v>162</v>
      </c>
      <c r="N3" s="446" t="s">
        <v>163</v>
      </c>
      <c r="O3" s="446"/>
      <c r="P3" s="446"/>
      <c r="Q3" s="446"/>
      <c r="R3" s="446"/>
    </row>
    <row r="4" spans="1:18" ht="22.5" customHeight="1">
      <c r="A4" s="437"/>
      <c r="B4" s="439"/>
      <c r="C4" s="440"/>
      <c r="D4" s="441"/>
      <c r="E4" s="447" t="s">
        <v>158</v>
      </c>
      <c r="F4" s="452" t="s">
        <v>34</v>
      </c>
      <c r="G4" s="422" t="s">
        <v>159</v>
      </c>
      <c r="H4" s="431" t="s">
        <v>160</v>
      </c>
      <c r="I4" s="422" t="s">
        <v>122</v>
      </c>
      <c r="J4" s="431" t="s">
        <v>123</v>
      </c>
      <c r="K4" s="91" t="s">
        <v>65</v>
      </c>
      <c r="L4" s="96" t="s">
        <v>64</v>
      </c>
      <c r="M4" s="431"/>
      <c r="N4" s="433" t="s">
        <v>169</v>
      </c>
      <c r="O4" s="422" t="s">
        <v>50</v>
      </c>
      <c r="P4" s="424" t="s">
        <v>49</v>
      </c>
      <c r="Q4" s="97" t="s">
        <v>65</v>
      </c>
      <c r="R4" s="98" t="s">
        <v>64</v>
      </c>
    </row>
    <row r="5" spans="1:18" ht="78.75" customHeight="1">
      <c r="A5" s="438"/>
      <c r="B5" s="439"/>
      <c r="C5" s="440"/>
      <c r="D5" s="441"/>
      <c r="E5" s="448"/>
      <c r="F5" s="453"/>
      <c r="G5" s="423"/>
      <c r="H5" s="432"/>
      <c r="I5" s="423"/>
      <c r="J5" s="432"/>
      <c r="K5" s="425" t="s">
        <v>161</v>
      </c>
      <c r="L5" s="427"/>
      <c r="M5" s="432"/>
      <c r="N5" s="434"/>
      <c r="O5" s="423"/>
      <c r="P5" s="424"/>
      <c r="Q5" s="425" t="s">
        <v>120</v>
      </c>
      <c r="R5" s="42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8"/>
      <c r="H88" s="428"/>
      <c r="I88" s="428"/>
      <c r="J88" s="428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20"/>
      <c r="O89" s="420"/>
    </row>
    <row r="90" spans="3:15" ht="15">
      <c r="C90" s="87">
        <v>42520</v>
      </c>
      <c r="D90" s="31">
        <v>8891</v>
      </c>
      <c r="F90" s="124" t="s">
        <v>59</v>
      </c>
      <c r="G90" s="414"/>
      <c r="H90" s="414"/>
      <c r="I90" s="131"/>
      <c r="J90" s="417"/>
      <c r="K90" s="417"/>
      <c r="L90" s="417"/>
      <c r="M90" s="417"/>
      <c r="N90" s="420"/>
      <c r="O90" s="420"/>
    </row>
    <row r="91" spans="3:15" ht="15.75" customHeight="1">
      <c r="C91" s="87">
        <v>42517</v>
      </c>
      <c r="D91" s="31">
        <v>7356.3</v>
      </c>
      <c r="F91" s="73"/>
      <c r="G91" s="414"/>
      <c r="H91" s="414"/>
      <c r="I91" s="131"/>
      <c r="J91" s="421"/>
      <c r="K91" s="421"/>
      <c r="L91" s="421"/>
      <c r="M91" s="421"/>
      <c r="N91" s="420"/>
      <c r="O91" s="420"/>
    </row>
    <row r="92" spans="3:13" ht="15.75" customHeight="1">
      <c r="C92" s="87"/>
      <c r="F92" s="73"/>
      <c r="G92" s="416"/>
      <c r="H92" s="416"/>
      <c r="I92" s="139"/>
      <c r="J92" s="417"/>
      <c r="K92" s="417"/>
      <c r="L92" s="417"/>
      <c r="M92" s="417"/>
    </row>
    <row r="93" spans="2:13" ht="18.75" customHeight="1">
      <c r="B93" s="418" t="s">
        <v>57</v>
      </c>
      <c r="C93" s="419"/>
      <c r="D93" s="148">
        <v>2811.04042</v>
      </c>
      <c r="E93" s="74"/>
      <c r="F93" s="140" t="s">
        <v>137</v>
      </c>
      <c r="G93" s="414"/>
      <c r="H93" s="414"/>
      <c r="I93" s="141"/>
      <c r="J93" s="417"/>
      <c r="K93" s="417"/>
      <c r="L93" s="417"/>
      <c r="M93" s="417"/>
    </row>
    <row r="94" spans="6:12" ht="9.75" customHeight="1">
      <c r="F94" s="73"/>
      <c r="G94" s="414"/>
      <c r="H94" s="414"/>
      <c r="I94" s="73"/>
      <c r="J94" s="74"/>
      <c r="K94" s="74"/>
      <c r="L94" s="74"/>
    </row>
    <row r="95" spans="2:12" ht="22.5" customHeight="1">
      <c r="B95" s="412" t="s">
        <v>60</v>
      </c>
      <c r="C95" s="413"/>
      <c r="D95" s="86">
        <v>0</v>
      </c>
      <c r="E95" s="56" t="s">
        <v>24</v>
      </c>
      <c r="F95" s="73"/>
      <c r="G95" s="414"/>
      <c r="H95" s="414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15"/>
      <c r="O97" s="415"/>
    </row>
    <row r="98" spans="14:15" ht="15">
      <c r="N98" s="414"/>
      <c r="O98" s="414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2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57" sqref="N5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5" t="s">
        <v>156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92"/>
      <c r="R1" s="93"/>
    </row>
    <row r="2" spans="2:18" s="1" customFormat="1" ht="15.75" customHeight="1">
      <c r="B2" s="454"/>
      <c r="C2" s="454"/>
      <c r="D2" s="45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7"/>
      <c r="B3" s="439"/>
      <c r="C3" s="440" t="s">
        <v>0</v>
      </c>
      <c r="D3" s="441" t="s">
        <v>121</v>
      </c>
      <c r="E3" s="34"/>
      <c r="F3" s="442" t="s">
        <v>26</v>
      </c>
      <c r="G3" s="443"/>
      <c r="H3" s="443"/>
      <c r="I3" s="443"/>
      <c r="J3" s="444"/>
      <c r="K3" s="89"/>
      <c r="L3" s="89"/>
      <c r="M3" s="445" t="s">
        <v>153</v>
      </c>
      <c r="N3" s="446" t="s">
        <v>154</v>
      </c>
      <c r="O3" s="446"/>
      <c r="P3" s="446"/>
      <c r="Q3" s="446"/>
      <c r="R3" s="446"/>
    </row>
    <row r="4" spans="1:18" ht="22.5" customHeight="1">
      <c r="A4" s="437"/>
      <c r="B4" s="439"/>
      <c r="C4" s="440"/>
      <c r="D4" s="441"/>
      <c r="E4" s="447" t="s">
        <v>150</v>
      </c>
      <c r="F4" s="452" t="s">
        <v>34</v>
      </c>
      <c r="G4" s="422" t="s">
        <v>151</v>
      </c>
      <c r="H4" s="431" t="s">
        <v>152</v>
      </c>
      <c r="I4" s="422" t="s">
        <v>122</v>
      </c>
      <c r="J4" s="431" t="s">
        <v>123</v>
      </c>
      <c r="K4" s="91" t="s">
        <v>65</v>
      </c>
      <c r="L4" s="96" t="s">
        <v>64</v>
      </c>
      <c r="M4" s="431"/>
      <c r="N4" s="433" t="s">
        <v>157</v>
      </c>
      <c r="O4" s="422" t="s">
        <v>50</v>
      </c>
      <c r="P4" s="424" t="s">
        <v>49</v>
      </c>
      <c r="Q4" s="97" t="s">
        <v>65</v>
      </c>
      <c r="R4" s="98" t="s">
        <v>64</v>
      </c>
    </row>
    <row r="5" spans="1:18" ht="78.75" customHeight="1">
      <c r="A5" s="438"/>
      <c r="B5" s="439"/>
      <c r="C5" s="440"/>
      <c r="D5" s="441"/>
      <c r="E5" s="448"/>
      <c r="F5" s="453"/>
      <c r="G5" s="423"/>
      <c r="H5" s="432"/>
      <c r="I5" s="423"/>
      <c r="J5" s="432"/>
      <c r="K5" s="425" t="s">
        <v>155</v>
      </c>
      <c r="L5" s="427"/>
      <c r="M5" s="432"/>
      <c r="N5" s="434"/>
      <c r="O5" s="423"/>
      <c r="P5" s="424"/>
      <c r="Q5" s="425" t="s">
        <v>120</v>
      </c>
      <c r="R5" s="42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28"/>
      <c r="H84" s="428"/>
      <c r="I84" s="428"/>
      <c r="J84" s="428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20"/>
      <c r="O85" s="420"/>
    </row>
    <row r="86" spans="3:15" ht="15">
      <c r="C86" s="87">
        <v>42488</v>
      </c>
      <c r="D86" s="31">
        <v>11419.7</v>
      </c>
      <c r="F86" s="124" t="s">
        <v>59</v>
      </c>
      <c r="G86" s="414"/>
      <c r="H86" s="414"/>
      <c r="I86" s="131"/>
      <c r="J86" s="417"/>
      <c r="K86" s="417"/>
      <c r="L86" s="417"/>
      <c r="M86" s="417"/>
      <c r="N86" s="420"/>
      <c r="O86" s="420"/>
    </row>
    <row r="87" spans="3:15" ht="15.75" customHeight="1">
      <c r="C87" s="87">
        <v>42487</v>
      </c>
      <c r="D87" s="31">
        <v>7800.7</v>
      </c>
      <c r="F87" s="73"/>
      <c r="G87" s="414"/>
      <c r="H87" s="414"/>
      <c r="I87" s="131"/>
      <c r="J87" s="421"/>
      <c r="K87" s="421"/>
      <c r="L87" s="421"/>
      <c r="M87" s="421"/>
      <c r="N87" s="420"/>
      <c r="O87" s="420"/>
    </row>
    <row r="88" spans="3:13" ht="15.75" customHeight="1">
      <c r="C88" s="87"/>
      <c r="F88" s="73"/>
      <c r="G88" s="416"/>
      <c r="H88" s="416"/>
      <c r="I88" s="139"/>
      <c r="J88" s="417"/>
      <c r="K88" s="417"/>
      <c r="L88" s="417"/>
      <c r="M88" s="417"/>
    </row>
    <row r="89" spans="2:13" ht="18.75" customHeight="1">
      <c r="B89" s="418" t="s">
        <v>57</v>
      </c>
      <c r="C89" s="419"/>
      <c r="D89" s="148">
        <v>9087.9705</v>
      </c>
      <c r="E89" s="74"/>
      <c r="F89" s="140" t="s">
        <v>137</v>
      </c>
      <c r="G89" s="414"/>
      <c r="H89" s="414"/>
      <c r="I89" s="141"/>
      <c r="J89" s="417"/>
      <c r="K89" s="417"/>
      <c r="L89" s="417"/>
      <c r="M89" s="417"/>
    </row>
    <row r="90" spans="6:12" ht="9.75" customHeight="1">
      <c r="F90" s="73"/>
      <c r="G90" s="414"/>
      <c r="H90" s="414"/>
      <c r="I90" s="73"/>
      <c r="J90" s="74"/>
      <c r="K90" s="74"/>
      <c r="L90" s="74"/>
    </row>
    <row r="91" spans="2:12" ht="22.5" customHeight="1" hidden="1">
      <c r="B91" s="412" t="s">
        <v>60</v>
      </c>
      <c r="C91" s="413"/>
      <c r="D91" s="86">
        <v>0</v>
      </c>
      <c r="E91" s="56" t="s">
        <v>24</v>
      </c>
      <c r="F91" s="73"/>
      <c r="G91" s="414"/>
      <c r="H91" s="414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14"/>
      <c r="O92" s="414"/>
    </row>
    <row r="93" spans="4:15" ht="15">
      <c r="D93" s="83"/>
      <c r="I93" s="31"/>
      <c r="N93" s="415"/>
      <c r="O93" s="415"/>
    </row>
    <row r="94" spans="14:15" ht="15">
      <c r="N94" s="414"/>
      <c r="O94" s="414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5" t="s">
        <v>148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92"/>
      <c r="R1" s="93"/>
    </row>
    <row r="2" spans="2:18" s="1" customFormat="1" ht="15.75" customHeight="1">
      <c r="B2" s="454"/>
      <c r="C2" s="454"/>
      <c r="D2" s="45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7"/>
      <c r="B3" s="439"/>
      <c r="C3" s="440" t="s">
        <v>0</v>
      </c>
      <c r="D3" s="441" t="s">
        <v>121</v>
      </c>
      <c r="E3" s="34"/>
      <c r="F3" s="442" t="s">
        <v>26</v>
      </c>
      <c r="G3" s="443"/>
      <c r="H3" s="443"/>
      <c r="I3" s="443"/>
      <c r="J3" s="444"/>
      <c r="K3" s="89"/>
      <c r="L3" s="89"/>
      <c r="M3" s="445" t="s">
        <v>147</v>
      </c>
      <c r="N3" s="446" t="s">
        <v>143</v>
      </c>
      <c r="O3" s="446"/>
      <c r="P3" s="446"/>
      <c r="Q3" s="446"/>
      <c r="R3" s="446"/>
    </row>
    <row r="4" spans="1:18" ht="22.5" customHeight="1">
      <c r="A4" s="437"/>
      <c r="B4" s="439"/>
      <c r="C4" s="440"/>
      <c r="D4" s="441"/>
      <c r="E4" s="447" t="s">
        <v>146</v>
      </c>
      <c r="F4" s="452" t="s">
        <v>34</v>
      </c>
      <c r="G4" s="422" t="s">
        <v>141</v>
      </c>
      <c r="H4" s="431" t="s">
        <v>142</v>
      </c>
      <c r="I4" s="422" t="s">
        <v>122</v>
      </c>
      <c r="J4" s="431" t="s">
        <v>123</v>
      </c>
      <c r="K4" s="91" t="s">
        <v>65</v>
      </c>
      <c r="L4" s="96" t="s">
        <v>64</v>
      </c>
      <c r="M4" s="431"/>
      <c r="N4" s="433" t="s">
        <v>149</v>
      </c>
      <c r="O4" s="422" t="s">
        <v>50</v>
      </c>
      <c r="P4" s="424" t="s">
        <v>49</v>
      </c>
      <c r="Q4" s="97" t="s">
        <v>65</v>
      </c>
      <c r="R4" s="98" t="s">
        <v>64</v>
      </c>
    </row>
    <row r="5" spans="1:18" ht="78.75" customHeight="1">
      <c r="A5" s="438"/>
      <c r="B5" s="439"/>
      <c r="C5" s="440"/>
      <c r="D5" s="441"/>
      <c r="E5" s="448"/>
      <c r="F5" s="453"/>
      <c r="G5" s="423"/>
      <c r="H5" s="432"/>
      <c r="I5" s="423"/>
      <c r="J5" s="432"/>
      <c r="K5" s="425" t="s">
        <v>144</v>
      </c>
      <c r="L5" s="427"/>
      <c r="M5" s="432"/>
      <c r="N5" s="434"/>
      <c r="O5" s="423"/>
      <c r="P5" s="424"/>
      <c r="Q5" s="425" t="s">
        <v>120</v>
      </c>
      <c r="R5" s="42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28"/>
      <c r="H83" s="428"/>
      <c r="I83" s="428"/>
      <c r="J83" s="428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20"/>
      <c r="O84" s="420"/>
    </row>
    <row r="85" spans="3:15" ht="15">
      <c r="C85" s="87">
        <v>42459</v>
      </c>
      <c r="D85" s="31">
        <v>7576.3</v>
      </c>
      <c r="F85" s="124" t="s">
        <v>59</v>
      </c>
      <c r="G85" s="414"/>
      <c r="H85" s="414"/>
      <c r="I85" s="131"/>
      <c r="J85" s="417"/>
      <c r="K85" s="417"/>
      <c r="L85" s="417"/>
      <c r="M85" s="417"/>
      <c r="N85" s="420"/>
      <c r="O85" s="420"/>
    </row>
    <row r="86" spans="3:15" ht="15.75" customHeight="1">
      <c r="C86" s="87">
        <v>42458</v>
      </c>
      <c r="D86" s="31">
        <v>9190.1</v>
      </c>
      <c r="F86" s="73"/>
      <c r="G86" s="414"/>
      <c r="H86" s="414"/>
      <c r="I86" s="131"/>
      <c r="J86" s="421"/>
      <c r="K86" s="421"/>
      <c r="L86" s="421"/>
      <c r="M86" s="421"/>
      <c r="N86" s="420"/>
      <c r="O86" s="420"/>
    </row>
    <row r="87" spans="3:13" ht="15.75" customHeight="1">
      <c r="C87" s="87"/>
      <c r="F87" s="73"/>
      <c r="G87" s="416"/>
      <c r="H87" s="416"/>
      <c r="I87" s="139"/>
      <c r="J87" s="417"/>
      <c r="K87" s="417"/>
      <c r="L87" s="417"/>
      <c r="M87" s="417"/>
    </row>
    <row r="88" spans="2:13" ht="18.75" customHeight="1">
      <c r="B88" s="418" t="s">
        <v>57</v>
      </c>
      <c r="C88" s="419"/>
      <c r="D88" s="148">
        <f>4343.7</f>
        <v>4343.7</v>
      </c>
      <c r="E88" s="74"/>
      <c r="F88" s="140" t="s">
        <v>137</v>
      </c>
      <c r="G88" s="414"/>
      <c r="H88" s="414"/>
      <c r="I88" s="141"/>
      <c r="J88" s="417"/>
      <c r="K88" s="417"/>
      <c r="L88" s="417"/>
      <c r="M88" s="417"/>
    </row>
    <row r="89" spans="6:12" ht="9.75" customHeight="1">
      <c r="F89" s="73"/>
      <c r="G89" s="414"/>
      <c r="H89" s="414"/>
      <c r="I89" s="73"/>
      <c r="J89" s="74"/>
      <c r="K89" s="74"/>
      <c r="L89" s="74"/>
    </row>
    <row r="90" spans="2:12" ht="22.5" customHeight="1" hidden="1">
      <c r="B90" s="412" t="s">
        <v>60</v>
      </c>
      <c r="C90" s="413"/>
      <c r="D90" s="86">
        <v>0</v>
      </c>
      <c r="E90" s="56" t="s">
        <v>24</v>
      </c>
      <c r="F90" s="73"/>
      <c r="G90" s="414"/>
      <c r="H90" s="41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4"/>
      <c r="O91" s="414"/>
    </row>
    <row r="92" spans="4:15" ht="15">
      <c r="D92" s="83"/>
      <c r="I92" s="31"/>
      <c r="N92" s="415"/>
      <c r="O92" s="415"/>
    </row>
    <row r="93" spans="14:15" ht="15">
      <c r="N93" s="414"/>
      <c r="O93" s="414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2" sqref="E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5" t="s">
        <v>139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92"/>
      <c r="R1" s="93"/>
    </row>
    <row r="2" spans="2:18" s="1" customFormat="1" ht="15.75" customHeight="1">
      <c r="B2" s="454"/>
      <c r="C2" s="454"/>
      <c r="D2" s="45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7"/>
      <c r="B3" s="439"/>
      <c r="C3" s="440" t="s">
        <v>0</v>
      </c>
      <c r="D3" s="441" t="s">
        <v>121</v>
      </c>
      <c r="E3" s="34"/>
      <c r="F3" s="442" t="s">
        <v>26</v>
      </c>
      <c r="G3" s="443"/>
      <c r="H3" s="443"/>
      <c r="I3" s="443"/>
      <c r="J3" s="444"/>
      <c r="K3" s="89"/>
      <c r="L3" s="89"/>
      <c r="M3" s="455" t="s">
        <v>128</v>
      </c>
      <c r="N3" s="446" t="s">
        <v>119</v>
      </c>
      <c r="O3" s="446"/>
      <c r="P3" s="446"/>
      <c r="Q3" s="446"/>
      <c r="R3" s="446"/>
    </row>
    <row r="4" spans="1:18" ht="22.5" customHeight="1">
      <c r="A4" s="437"/>
      <c r="B4" s="439"/>
      <c r="C4" s="440"/>
      <c r="D4" s="441"/>
      <c r="E4" s="447" t="s">
        <v>127</v>
      </c>
      <c r="F4" s="452" t="s">
        <v>34</v>
      </c>
      <c r="G4" s="422" t="s">
        <v>116</v>
      </c>
      <c r="H4" s="431" t="s">
        <v>117</v>
      </c>
      <c r="I4" s="422" t="s">
        <v>122</v>
      </c>
      <c r="J4" s="431" t="s">
        <v>123</v>
      </c>
      <c r="K4" s="91" t="s">
        <v>65</v>
      </c>
      <c r="L4" s="96" t="s">
        <v>64</v>
      </c>
      <c r="M4" s="431"/>
      <c r="N4" s="433" t="s">
        <v>140</v>
      </c>
      <c r="O4" s="422" t="s">
        <v>50</v>
      </c>
      <c r="P4" s="424" t="s">
        <v>49</v>
      </c>
      <c r="Q4" s="97" t="s">
        <v>65</v>
      </c>
      <c r="R4" s="98" t="s">
        <v>64</v>
      </c>
    </row>
    <row r="5" spans="1:18" ht="92.25" customHeight="1">
      <c r="A5" s="438"/>
      <c r="B5" s="439"/>
      <c r="C5" s="440"/>
      <c r="D5" s="441"/>
      <c r="E5" s="448"/>
      <c r="F5" s="453"/>
      <c r="G5" s="423"/>
      <c r="H5" s="432"/>
      <c r="I5" s="423"/>
      <c r="J5" s="432"/>
      <c r="K5" s="425" t="s">
        <v>118</v>
      </c>
      <c r="L5" s="427"/>
      <c r="M5" s="432"/>
      <c r="N5" s="434"/>
      <c r="O5" s="423"/>
      <c r="P5" s="424"/>
      <c r="Q5" s="425" t="s">
        <v>120</v>
      </c>
      <c r="R5" s="42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8"/>
      <c r="H83" s="428"/>
      <c r="I83" s="428"/>
      <c r="J83" s="428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20"/>
      <c r="O84" s="420"/>
    </row>
    <row r="85" spans="3:15" ht="15">
      <c r="C85" s="87">
        <v>42426</v>
      </c>
      <c r="D85" s="31">
        <v>6256.2</v>
      </c>
      <c r="F85" s="124" t="s">
        <v>59</v>
      </c>
      <c r="G85" s="414"/>
      <c r="H85" s="414"/>
      <c r="I85" s="131"/>
      <c r="J85" s="417"/>
      <c r="K85" s="417"/>
      <c r="L85" s="417"/>
      <c r="M85" s="417"/>
      <c r="N85" s="420"/>
      <c r="O85" s="420"/>
    </row>
    <row r="86" spans="3:15" ht="15.75" customHeight="1">
      <c r="C86" s="87">
        <v>42425</v>
      </c>
      <c r="D86" s="31">
        <v>3536.9</v>
      </c>
      <c r="F86" s="73"/>
      <c r="G86" s="414"/>
      <c r="H86" s="414"/>
      <c r="I86" s="131"/>
      <c r="J86" s="421"/>
      <c r="K86" s="421"/>
      <c r="L86" s="421"/>
      <c r="M86" s="421"/>
      <c r="N86" s="420"/>
      <c r="O86" s="420"/>
    </row>
    <row r="87" spans="3:13" ht="15.75" customHeight="1">
      <c r="C87" s="87"/>
      <c r="F87" s="73"/>
      <c r="G87" s="416"/>
      <c r="H87" s="416"/>
      <c r="I87" s="139"/>
      <c r="J87" s="417"/>
      <c r="K87" s="417"/>
      <c r="L87" s="417"/>
      <c r="M87" s="417"/>
    </row>
    <row r="88" spans="2:13" ht="18.75" customHeight="1">
      <c r="B88" s="418" t="s">
        <v>57</v>
      </c>
      <c r="C88" s="419"/>
      <c r="D88" s="148">
        <v>505.3</v>
      </c>
      <c r="E88" s="74"/>
      <c r="F88" s="140" t="s">
        <v>137</v>
      </c>
      <c r="G88" s="414"/>
      <c r="H88" s="414"/>
      <c r="I88" s="141"/>
      <c r="J88" s="417"/>
      <c r="K88" s="417"/>
      <c r="L88" s="417"/>
      <c r="M88" s="417"/>
    </row>
    <row r="89" spans="6:12" ht="9.75" customHeight="1">
      <c r="F89" s="73"/>
      <c r="G89" s="414"/>
      <c r="H89" s="414"/>
      <c r="I89" s="73"/>
      <c r="J89" s="74"/>
      <c r="K89" s="74"/>
      <c r="L89" s="74"/>
    </row>
    <row r="90" spans="2:12" ht="22.5" customHeight="1" hidden="1">
      <c r="B90" s="412" t="s">
        <v>60</v>
      </c>
      <c r="C90" s="413"/>
      <c r="D90" s="86">
        <v>0</v>
      </c>
      <c r="E90" s="56" t="s">
        <v>24</v>
      </c>
      <c r="F90" s="73"/>
      <c r="G90" s="414"/>
      <c r="H90" s="41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4"/>
      <c r="O91" s="414"/>
    </row>
    <row r="92" spans="4:15" ht="15">
      <c r="D92" s="83"/>
      <c r="I92" s="31"/>
      <c r="N92" s="415"/>
      <c r="O92" s="415"/>
    </row>
    <row r="93" spans="14:15" ht="15">
      <c r="N93" s="414"/>
      <c r="O93" s="414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51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5" t="s">
        <v>114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92"/>
      <c r="R1" s="93"/>
    </row>
    <row r="2" spans="2:18" s="1" customFormat="1" ht="15.75" customHeight="1">
      <c r="B2" s="454"/>
      <c r="C2" s="454"/>
      <c r="D2" s="45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7"/>
      <c r="B3" s="439" t="s">
        <v>135</v>
      </c>
      <c r="C3" s="440" t="s">
        <v>0</v>
      </c>
      <c r="D3" s="441" t="s">
        <v>121</v>
      </c>
      <c r="E3" s="34"/>
      <c r="F3" s="442" t="s">
        <v>26</v>
      </c>
      <c r="G3" s="443"/>
      <c r="H3" s="443"/>
      <c r="I3" s="443"/>
      <c r="J3" s="444"/>
      <c r="K3" s="89"/>
      <c r="L3" s="89"/>
      <c r="M3" s="455" t="s">
        <v>132</v>
      </c>
      <c r="N3" s="446" t="s">
        <v>66</v>
      </c>
      <c r="O3" s="446"/>
      <c r="P3" s="446"/>
      <c r="Q3" s="446"/>
      <c r="R3" s="446"/>
    </row>
    <row r="4" spans="1:18" ht="22.5" customHeight="1">
      <c r="A4" s="437"/>
      <c r="B4" s="439"/>
      <c r="C4" s="440"/>
      <c r="D4" s="441"/>
      <c r="E4" s="447" t="s">
        <v>129</v>
      </c>
      <c r="F4" s="452" t="s">
        <v>34</v>
      </c>
      <c r="G4" s="422" t="s">
        <v>130</v>
      </c>
      <c r="H4" s="431" t="s">
        <v>131</v>
      </c>
      <c r="I4" s="422" t="s">
        <v>122</v>
      </c>
      <c r="J4" s="431" t="s">
        <v>123</v>
      </c>
      <c r="K4" s="91" t="s">
        <v>65</v>
      </c>
      <c r="L4" s="96" t="s">
        <v>64</v>
      </c>
      <c r="M4" s="431"/>
      <c r="N4" s="456" t="s">
        <v>133</v>
      </c>
      <c r="O4" s="422" t="s">
        <v>50</v>
      </c>
      <c r="P4" s="424" t="s">
        <v>49</v>
      </c>
      <c r="Q4" s="97" t="s">
        <v>65</v>
      </c>
      <c r="R4" s="98" t="s">
        <v>64</v>
      </c>
    </row>
    <row r="5" spans="1:18" ht="92.25" customHeight="1">
      <c r="A5" s="438"/>
      <c r="B5" s="439"/>
      <c r="C5" s="440"/>
      <c r="D5" s="441"/>
      <c r="E5" s="448"/>
      <c r="F5" s="453"/>
      <c r="G5" s="423"/>
      <c r="H5" s="432"/>
      <c r="I5" s="423"/>
      <c r="J5" s="432"/>
      <c r="K5" s="425" t="s">
        <v>134</v>
      </c>
      <c r="L5" s="427"/>
      <c r="M5" s="432"/>
      <c r="N5" s="457"/>
      <c r="O5" s="423"/>
      <c r="P5" s="424"/>
      <c r="Q5" s="425" t="s">
        <v>120</v>
      </c>
      <c r="R5" s="42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8"/>
      <c r="H83" s="428"/>
      <c r="I83" s="428"/>
      <c r="J83" s="428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20"/>
      <c r="O84" s="420"/>
    </row>
    <row r="85" spans="3:15" ht="15">
      <c r="C85" s="87">
        <v>42397</v>
      </c>
      <c r="D85" s="31">
        <v>8685</v>
      </c>
      <c r="F85" s="124" t="s">
        <v>59</v>
      </c>
      <c r="G85" s="414"/>
      <c r="H85" s="414"/>
      <c r="I85" s="131"/>
      <c r="J85" s="417"/>
      <c r="K85" s="417"/>
      <c r="L85" s="417"/>
      <c r="M85" s="417"/>
      <c r="N85" s="420"/>
      <c r="O85" s="420"/>
    </row>
    <row r="86" spans="3:15" ht="15.75" customHeight="1">
      <c r="C86" s="87">
        <v>42396</v>
      </c>
      <c r="D86" s="31">
        <v>4820.3</v>
      </c>
      <c r="F86" s="73"/>
      <c r="G86" s="414"/>
      <c r="H86" s="414"/>
      <c r="I86" s="131"/>
      <c r="J86" s="421"/>
      <c r="K86" s="421"/>
      <c r="L86" s="421"/>
      <c r="M86" s="421"/>
      <c r="N86" s="420"/>
      <c r="O86" s="420"/>
    </row>
    <row r="87" spans="3:13" ht="15.75" customHeight="1">
      <c r="C87" s="87"/>
      <c r="F87" s="73"/>
      <c r="G87" s="416"/>
      <c r="H87" s="416"/>
      <c r="I87" s="139"/>
      <c r="J87" s="417"/>
      <c r="K87" s="417"/>
      <c r="L87" s="417"/>
      <c r="M87" s="417"/>
    </row>
    <row r="88" spans="2:13" ht="18.75" customHeight="1">
      <c r="B88" s="418" t="s">
        <v>57</v>
      </c>
      <c r="C88" s="419"/>
      <c r="D88" s="148">
        <v>300.92</v>
      </c>
      <c r="E88" s="74"/>
      <c r="F88" s="140"/>
      <c r="G88" s="414"/>
      <c r="H88" s="414"/>
      <c r="I88" s="141"/>
      <c r="J88" s="417"/>
      <c r="K88" s="417"/>
      <c r="L88" s="417"/>
      <c r="M88" s="417"/>
    </row>
    <row r="89" spans="6:12" ht="9.75" customHeight="1">
      <c r="F89" s="73"/>
      <c r="G89" s="414"/>
      <c r="H89" s="414"/>
      <c r="I89" s="73"/>
      <c r="J89" s="74"/>
      <c r="K89" s="74"/>
      <c r="L89" s="74"/>
    </row>
    <row r="90" spans="2:12" ht="22.5" customHeight="1" hidden="1">
      <c r="B90" s="412" t="s">
        <v>60</v>
      </c>
      <c r="C90" s="413"/>
      <c r="D90" s="86">
        <v>0</v>
      </c>
      <c r="E90" s="56" t="s">
        <v>24</v>
      </c>
      <c r="F90" s="73"/>
      <c r="G90" s="414"/>
      <c r="H90" s="41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4"/>
      <c r="O91" s="414"/>
    </row>
    <row r="92" spans="4:15" ht="15">
      <c r="D92" s="83"/>
      <c r="I92" s="31"/>
      <c r="N92" s="415"/>
      <c r="O92" s="415"/>
    </row>
    <row r="93" spans="14:15" ht="15">
      <c r="N93" s="414"/>
      <c r="O93" s="414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2016-09-08T08:27:26Z</cp:lastPrinted>
  <dcterms:created xsi:type="dcterms:W3CDTF">2003-07-28T11:27:56Z</dcterms:created>
  <dcterms:modified xsi:type="dcterms:W3CDTF">2016-09-08T08:53:12Z</dcterms:modified>
  <cp:category/>
  <cp:version/>
  <cp:contentType/>
  <cp:contentStatus/>
</cp:coreProperties>
</file>